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ФСГС!$A$1:$AB$622</definedName>
  </definedNames>
  <calcPr calcId="152511"/>
</workbook>
</file>

<file path=xl/calcChain.xml><?xml version="1.0" encoding="utf-8"?>
<calcChain xmlns="http://schemas.openxmlformats.org/spreadsheetml/2006/main">
  <c r="AA109" i="8" l="1"/>
  <c r="AA110" i="8"/>
  <c r="X108" i="8"/>
  <c r="U108" i="8"/>
  <c r="V108" i="8"/>
  <c r="W108" i="8"/>
  <c r="Y108" i="8"/>
  <c r="AA108" i="8" s="1"/>
  <c r="Z108" i="8"/>
  <c r="T108" i="8"/>
  <c r="W110" i="8"/>
  <c r="V110" i="8"/>
  <c r="U110" i="8"/>
  <c r="T110" i="8"/>
  <c r="Z25" i="8" l="1"/>
  <c r="Y25" i="8"/>
  <c r="X25" i="8"/>
  <c r="X532" i="8"/>
  <c r="X102" i="8" l="1"/>
  <c r="X166" i="8"/>
  <c r="X164" i="8" l="1"/>
  <c r="X548" i="8" l="1"/>
  <c r="X204" i="8"/>
  <c r="X206" i="8"/>
  <c r="X205" i="8"/>
  <c r="X162" i="8" l="1"/>
  <c r="X160" i="8"/>
  <c r="X79" i="8"/>
  <c r="AA71" i="8"/>
  <c r="AA72" i="8"/>
  <c r="U68" i="8"/>
  <c r="V68" i="8"/>
  <c r="W68" i="8"/>
  <c r="X68" i="8"/>
  <c r="Y68" i="8"/>
  <c r="Z68" i="8"/>
  <c r="T68" i="8"/>
  <c r="W72" i="8"/>
  <c r="V72" i="8"/>
  <c r="U72" i="8"/>
  <c r="T72" i="8"/>
  <c r="AA70" i="8"/>
  <c r="AA69" i="8"/>
  <c r="X57" i="8"/>
  <c r="Z24" i="8" l="1"/>
  <c r="Y24" i="8"/>
  <c r="X24" i="8"/>
  <c r="X61" i="8"/>
  <c r="X98" i="8"/>
  <c r="X146" i="8"/>
  <c r="X343" i="8"/>
  <c r="X219" i="8" l="1"/>
  <c r="X43" i="8"/>
  <c r="X45" i="8"/>
  <c r="X123" i="8"/>
  <c r="X90" i="8"/>
  <c r="X84" i="8"/>
  <c r="X59" i="8"/>
  <c r="Z26" i="8" l="1"/>
  <c r="X30" i="8"/>
  <c r="X31" i="8"/>
  <c r="X129" i="8" l="1"/>
  <c r="X94" i="8"/>
  <c r="X131" i="8"/>
  <c r="X198" i="8" l="1"/>
  <c r="X244" i="8"/>
  <c r="X173" i="8" s="1"/>
  <c r="AA56" i="8"/>
  <c r="AA430" i="8"/>
  <c r="X430" i="8"/>
  <c r="X245" i="8"/>
  <c r="Y245" i="8"/>
  <c r="Z245" i="8"/>
  <c r="X201" i="8" l="1"/>
  <c r="AA229" i="8"/>
  <c r="AA213" i="8"/>
  <c r="AA221" i="8"/>
  <c r="AA205" i="8"/>
  <c r="W213" i="8"/>
  <c r="Y213" i="8"/>
  <c r="Z213" i="8"/>
  <c r="U33" i="8" l="1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W548" i="8" l="1"/>
  <c r="W90" i="8"/>
  <c r="W241" i="8" l="1"/>
  <c r="W557" i="8" l="1"/>
  <c r="W551" i="8"/>
  <c r="W166" i="8"/>
  <c r="W162" i="8"/>
  <c r="W123" i="8"/>
  <c r="W121" i="8"/>
  <c r="W117" i="8"/>
  <c r="W102" i="8"/>
  <c r="W94" i="8"/>
  <c r="W43" i="8"/>
  <c r="W152" i="8"/>
  <c r="W177" i="8" l="1"/>
  <c r="W178" i="8"/>
  <c r="X159" i="8" l="1"/>
  <c r="Y159" i="8"/>
  <c r="Z159" i="8"/>
  <c r="AA618" i="8" l="1"/>
  <c r="W24" i="8" l="1"/>
  <c r="W155" i="8"/>
  <c r="W176" i="8" l="1"/>
  <c r="V176" i="8"/>
  <c r="W143" i="8" l="1"/>
  <c r="W64" i="8"/>
  <c r="W78" i="8"/>
  <c r="W79" i="8"/>
  <c r="W59" i="8"/>
  <c r="W554" i="8"/>
  <c r="W164" i="8"/>
  <c r="W119" i="8"/>
  <c r="W98" i="8"/>
  <c r="W84" i="8"/>
  <c r="W206" i="8"/>
  <c r="W251" i="8" l="1"/>
  <c r="W160" i="8"/>
  <c r="W57" i="8"/>
  <c r="X155" i="8" l="1"/>
  <c r="Z565" i="8" l="1"/>
  <c r="Z566" i="8"/>
  <c r="Z567" i="8"/>
  <c r="Z570" i="8"/>
  <c r="Z573" i="8"/>
  <c r="Z576" i="8"/>
  <c r="X512" i="8"/>
  <c r="Z564" i="8" l="1"/>
  <c r="X511" i="8" l="1"/>
  <c r="AA133" i="8"/>
  <c r="AA134" i="8"/>
  <c r="AA132" i="8"/>
  <c r="AA130" i="8"/>
  <c r="X127" i="8"/>
  <c r="Y127" i="8"/>
  <c r="Z127" i="8"/>
  <c r="X128" i="8"/>
  <c r="Y128" i="8"/>
  <c r="Z128" i="8"/>
  <c r="W128" i="8"/>
  <c r="W127" i="8"/>
  <c r="X126" i="8"/>
  <c r="Y126" i="8"/>
  <c r="Z126" i="8"/>
  <c r="W135" i="8"/>
  <c r="W126" i="8" s="1"/>
  <c r="AA142" i="8"/>
  <c r="AA141" i="8"/>
  <c r="AA140" i="8"/>
  <c r="AA139" i="8"/>
  <c r="AA138" i="8"/>
  <c r="V135" i="8"/>
  <c r="U135" i="8"/>
  <c r="T135" i="8"/>
  <c r="AA128" i="8" l="1"/>
  <c r="Z27" i="8"/>
  <c r="AA27" i="8" s="1"/>
  <c r="AA135" i="8"/>
  <c r="AA129" i="8"/>
  <c r="AA131" i="8"/>
  <c r="X148" i="8"/>
  <c r="AA513" i="8" l="1"/>
  <c r="AA514" i="8"/>
  <c r="V512" i="8"/>
  <c r="U512" i="8"/>
  <c r="W511" i="8"/>
  <c r="W510" i="8" s="1"/>
  <c r="V511" i="8"/>
  <c r="U511" i="8"/>
  <c r="Z510" i="8"/>
  <c r="Y510" i="8"/>
  <c r="X510" i="8"/>
  <c r="V510" i="8"/>
  <c r="U510" i="8"/>
  <c r="AA512" i="8" l="1"/>
  <c r="AA510" i="8"/>
  <c r="AA511" i="8"/>
  <c r="AA613" i="8" l="1"/>
  <c r="AA614" i="8"/>
  <c r="U612" i="8"/>
  <c r="V612" i="8"/>
  <c r="W612" i="8"/>
  <c r="X612" i="8"/>
  <c r="Y612" i="8"/>
  <c r="Z612" i="8"/>
  <c r="T612" i="8"/>
  <c r="AA612" i="8" l="1"/>
  <c r="W45" i="8"/>
  <c r="W30" i="8" s="1"/>
  <c r="W77" i="8" l="1"/>
  <c r="W150" i="8" l="1"/>
  <c r="W106" i="8"/>
  <c r="W606" i="8"/>
  <c r="W343" i="8"/>
  <c r="AA540" i="8" l="1"/>
  <c r="W61" i="8" l="1"/>
  <c r="W201" i="8" l="1"/>
  <c r="AA538" i="8" l="1"/>
  <c r="AA536" i="8"/>
  <c r="AA171" i="8"/>
  <c r="AA169" i="8"/>
  <c r="AA433" i="8" l="1"/>
  <c r="AA436" i="8"/>
  <c r="AA437" i="8"/>
  <c r="AA438" i="8"/>
  <c r="W430" i="8"/>
  <c r="AA337" i="8"/>
  <c r="AA339" i="8"/>
  <c r="AA343" i="8"/>
  <c r="AA344" i="8"/>
  <c r="AA345" i="8"/>
  <c r="AA346" i="8"/>
  <c r="X335" i="8"/>
  <c r="Y335" i="8"/>
  <c r="Z335" i="8"/>
  <c r="W335" i="8"/>
  <c r="AA294" i="8"/>
  <c r="AA296" i="8"/>
  <c r="AA299" i="8"/>
  <c r="AA300" i="8"/>
  <c r="AA301" i="8"/>
  <c r="X292" i="8"/>
  <c r="Y292" i="8"/>
  <c r="Z292" i="8"/>
  <c r="W292" i="8"/>
  <c r="AA254" i="8"/>
  <c r="AA255" i="8"/>
  <c r="AA256" i="8"/>
  <c r="AA253" i="8"/>
  <c r="AA247" i="8"/>
  <c r="AA251" i="8"/>
  <c r="AA252" i="8"/>
  <c r="W245" i="8"/>
  <c r="X242" i="8" l="1"/>
  <c r="W532" i="8"/>
  <c r="W25" i="8" l="1"/>
  <c r="V250" i="8" l="1"/>
  <c r="U250" i="8"/>
  <c r="V249" i="8"/>
  <c r="U249" i="8"/>
  <c r="AA250" i="8" l="1"/>
  <c r="AA249" i="8"/>
  <c r="AA46" i="8"/>
  <c r="AA44" i="8"/>
  <c r="AA45" i="8"/>
  <c r="V151" i="8" l="1"/>
  <c r="U151" i="8"/>
  <c r="V43" i="8"/>
  <c r="U43" i="8"/>
  <c r="U566" i="8" l="1"/>
  <c r="V435" i="8" l="1"/>
  <c r="V230" i="8"/>
  <c r="V214" i="8"/>
  <c r="V143" i="8"/>
  <c r="V106" i="8"/>
  <c r="V102" i="8"/>
  <c r="V94" i="8"/>
  <c r="V98" i="8"/>
  <c r="V57" i="8"/>
  <c r="V64" i="8"/>
  <c r="V123" i="8"/>
  <c r="V148" i="8" l="1"/>
  <c r="AA153" i="8"/>
  <c r="W27" i="8" l="1"/>
  <c r="V24" i="8"/>
  <c r="V155" i="8" l="1"/>
  <c r="U528" i="8" l="1"/>
  <c r="V528" i="8"/>
  <c r="U529" i="8"/>
  <c r="V529" i="8"/>
  <c r="W148" i="8"/>
  <c r="Y64" i="8" l="1"/>
  <c r="Z64" i="8"/>
  <c r="V121" i="8" l="1"/>
  <c r="V115" i="8" l="1"/>
  <c r="V178" i="8"/>
  <c r="X241" i="8"/>
  <c r="Y241" i="8"/>
  <c r="Z241" i="8"/>
  <c r="V241" i="8"/>
  <c r="U547" i="8"/>
  <c r="V547" i="8"/>
  <c r="W547" i="8"/>
  <c r="W544" i="8" s="1"/>
  <c r="X547" i="8"/>
  <c r="X544" i="8" s="1"/>
  <c r="Y547" i="8"/>
  <c r="Y544" i="8" s="1"/>
  <c r="Z547" i="8"/>
  <c r="Z544" i="8" s="1"/>
  <c r="T547" i="8"/>
  <c r="AA559" i="8"/>
  <c r="AA556" i="8"/>
  <c r="AA553" i="8"/>
  <c r="AA550" i="8"/>
  <c r="Z604" i="8"/>
  <c r="Z602" i="8" s="1"/>
  <c r="W604" i="8"/>
  <c r="X604" i="8"/>
  <c r="X602" i="8" s="1"/>
  <c r="Y604" i="8"/>
  <c r="V604" i="8"/>
  <c r="AA534" i="8"/>
  <c r="AA533" i="8"/>
  <c r="V532" i="8"/>
  <c r="U532" i="8"/>
  <c r="T532" i="8"/>
  <c r="V527" i="8"/>
  <c r="U527" i="8"/>
  <c r="X524" i="8"/>
  <c r="Y524" i="8"/>
  <c r="X518" i="8"/>
  <c r="Y518" i="8"/>
  <c r="X521" i="8"/>
  <c r="Y521" i="8"/>
  <c r="X515" i="8"/>
  <c r="Y515" i="8"/>
  <c r="Y516" i="8"/>
  <c r="W243" i="8"/>
  <c r="X243" i="8"/>
  <c r="Y243" i="8"/>
  <c r="W244" i="8"/>
  <c r="Y244" i="8"/>
  <c r="X507" i="8"/>
  <c r="Y228" i="8"/>
  <c r="Y226" i="8" s="1"/>
  <c r="Z228" i="8"/>
  <c r="Z226" i="8" s="1"/>
  <c r="Y220" i="8"/>
  <c r="Y218" i="8" s="1"/>
  <c r="Z220" i="8"/>
  <c r="Z218" i="8" s="1"/>
  <c r="Y212" i="8"/>
  <c r="Y210" i="8" s="1"/>
  <c r="Z212" i="8"/>
  <c r="Z210" i="8" s="1"/>
  <c r="Y204" i="8"/>
  <c r="Z204" i="8"/>
  <c r="AA547" i="8" l="1"/>
  <c r="AA532" i="8"/>
  <c r="U160" i="8"/>
  <c r="AA160" i="8" s="1"/>
  <c r="U162" i="8"/>
  <c r="U164" i="8"/>
  <c r="AA164" i="8" s="1"/>
  <c r="U166" i="8"/>
  <c r="AA166" i="8" s="1"/>
  <c r="U158" i="8"/>
  <c r="AA167" i="8"/>
  <c r="AA165" i="8"/>
  <c r="AA163" i="8"/>
  <c r="AA161" i="8"/>
  <c r="W159" i="8"/>
  <c r="Z158" i="8"/>
  <c r="Y158" i="8"/>
  <c r="X158" i="8"/>
  <c r="W158" i="8"/>
  <c r="AA159" i="8" l="1"/>
  <c r="AA158" i="8"/>
  <c r="AA162" i="8"/>
  <c r="AA605" i="8"/>
  <c r="AA606" i="8"/>
  <c r="V434" i="8" l="1"/>
  <c r="V297" i="8"/>
  <c r="V298" i="8"/>
  <c r="AA298" i="8" s="1"/>
  <c r="V592" i="8"/>
  <c r="V594" i="8"/>
  <c r="V551" i="8"/>
  <c r="V557" i="8"/>
  <c r="V554" i="8"/>
  <c r="V117" i="8"/>
  <c r="V78" i="8"/>
  <c r="V79" i="8"/>
  <c r="V84" i="8"/>
  <c r="V83" i="8"/>
  <c r="V59" i="8"/>
  <c r="V61" i="8"/>
  <c r="V222" i="8"/>
  <c r="V206" i="8"/>
  <c r="V545" i="8" l="1"/>
  <c r="V244" i="8" l="1"/>
  <c r="V243" i="8"/>
  <c r="V430" i="8"/>
  <c r="V245" i="8"/>
  <c r="V292" i="8"/>
  <c r="V507" i="8" l="1"/>
  <c r="V242" i="8" s="1"/>
  <c r="V126" i="8" l="1"/>
  <c r="W228" i="8" l="1"/>
  <c r="W220" i="8"/>
  <c r="W212" i="8"/>
  <c r="W204" i="8"/>
  <c r="V25" i="8" l="1"/>
  <c r="W568" i="8"/>
  <c r="X568" i="8"/>
  <c r="V516" i="8"/>
  <c r="V524" i="8"/>
  <c r="V521" i="8"/>
  <c r="V518" i="8"/>
  <c r="V515" i="8"/>
  <c r="V201" i="8" l="1"/>
  <c r="V215" i="8" l="1"/>
  <c r="V216" i="8"/>
  <c r="AA216" i="8" s="1"/>
  <c r="V207" i="8"/>
  <c r="V208" i="8"/>
  <c r="V223" i="8"/>
  <c r="V224" i="8"/>
  <c r="V231" i="8"/>
  <c r="V232" i="8"/>
  <c r="AA107" i="8"/>
  <c r="W74" i="8"/>
  <c r="X74" i="8"/>
  <c r="Y74" i="8"/>
  <c r="Z74" i="8"/>
  <c r="T74" i="8"/>
  <c r="V228" i="8"/>
  <c r="V220" i="8"/>
  <c r="V212" i="8"/>
  <c r="V204" i="8"/>
  <c r="V580" i="8" l="1"/>
  <c r="V575" i="8"/>
  <c r="V572" i="8"/>
  <c r="V569" i="8"/>
  <c r="V568" i="8"/>
  <c r="V571" i="8"/>
  <c r="V574" i="8"/>
  <c r="V577" i="8"/>
  <c r="AA82" i="8"/>
  <c r="V81" i="8"/>
  <c r="W81" i="8"/>
  <c r="X81" i="8"/>
  <c r="Y81" i="8"/>
  <c r="Z81" i="8"/>
  <c r="AA83" i="8"/>
  <c r="U84" i="8"/>
  <c r="U81" i="8" s="1"/>
  <c r="T84" i="8"/>
  <c r="AA77" i="8"/>
  <c r="V74" i="8"/>
  <c r="AA84" i="8" l="1"/>
  <c r="V66" i="8"/>
  <c r="T81" i="8"/>
  <c r="AA81" i="8" s="1"/>
  <c r="AA78" i="8"/>
  <c r="U98" i="8"/>
  <c r="U434" i="8" l="1"/>
  <c r="AA434" i="8" s="1"/>
  <c r="U340" i="8"/>
  <c r="AA340" i="8" s="1"/>
  <c r="U297" i="8"/>
  <c r="AA297" i="8" s="1"/>
  <c r="U152" i="8" l="1"/>
  <c r="U150" i="8"/>
  <c r="AA38" i="8"/>
  <c r="AA155" i="8"/>
  <c r="AA144" i="8"/>
  <c r="U241" i="8" l="1"/>
  <c r="U25" i="8" l="1"/>
  <c r="U178" i="8"/>
  <c r="U176" i="8"/>
  <c r="U117" i="8"/>
  <c r="U604" i="8"/>
  <c r="U143" i="8"/>
  <c r="U435" i="8"/>
  <c r="U594" i="8"/>
  <c r="U557" i="8"/>
  <c r="U228" i="8"/>
  <c r="U230" i="8"/>
  <c r="U102" i="8"/>
  <c r="U64" i="8"/>
  <c r="U590" i="8"/>
  <c r="U551" i="8"/>
  <c r="U212" i="8"/>
  <c r="U211" i="8"/>
  <c r="U214" i="8"/>
  <c r="U94" i="8"/>
  <c r="U76" i="8"/>
  <c r="U74" i="8" s="1"/>
  <c r="U59" i="8"/>
  <c r="U430" i="8" l="1"/>
  <c r="AA435" i="8"/>
  <c r="U342" i="8"/>
  <c r="AA342" i="8" s="1"/>
  <c r="U341" i="8"/>
  <c r="AA341" i="8" s="1"/>
  <c r="U592" i="8"/>
  <c r="U554" i="8"/>
  <c r="U220" i="8"/>
  <c r="U222" i="8"/>
  <c r="U119" i="8"/>
  <c r="U61" i="8"/>
  <c r="U206" i="8"/>
  <c r="U204" i="8"/>
  <c r="AA204" i="8" s="1"/>
  <c r="U57" i="8"/>
  <c r="U106" i="8" l="1"/>
  <c r="U123" i="8" l="1"/>
  <c r="U507" i="8"/>
  <c r="U616" i="8"/>
  <c r="Y148" i="8" l="1"/>
  <c r="Z148" i="8"/>
  <c r="AA607" i="8" l="1"/>
  <c r="W602" i="8" l="1"/>
  <c r="X570" i="8" l="1"/>
  <c r="X573" i="8"/>
  <c r="X576" i="8"/>
  <c r="X565" i="8"/>
  <c r="X27" i="8"/>
  <c r="Y27" i="8"/>
  <c r="U126" i="8" l="1"/>
  <c r="U148" i="8" l="1"/>
  <c r="AA75" i="8" l="1"/>
  <c r="AA76" i="8"/>
  <c r="AA79" i="8"/>
  <c r="V145" i="8" l="1"/>
  <c r="W145" i="8"/>
  <c r="X145" i="8"/>
  <c r="Y145" i="8"/>
  <c r="Z145" i="8"/>
  <c r="U145" i="8" l="1"/>
  <c r="U549" i="8"/>
  <c r="U116" i="8"/>
  <c r="U90" i="8" l="1"/>
  <c r="U548" i="8"/>
  <c r="U227" i="8"/>
  <c r="U219" i="8"/>
  <c r="U203" i="8"/>
  <c r="U115" i="8"/>
  <c r="AA561" i="8" l="1"/>
  <c r="AA560" i="8"/>
  <c r="U243" i="8" l="1"/>
  <c r="U524" i="8"/>
  <c r="U521" i="8"/>
  <c r="U518" i="8"/>
  <c r="U515" i="8"/>
  <c r="U156" i="8"/>
  <c r="AA151" i="8" l="1"/>
  <c r="U235" i="8" l="1"/>
  <c r="U236" i="8"/>
  <c r="U198" i="8"/>
  <c r="U226" i="8"/>
  <c r="AA227" i="8"/>
  <c r="V226" i="8"/>
  <c r="W226" i="8"/>
  <c r="X226" i="8"/>
  <c r="V218" i="8"/>
  <c r="W218" i="8"/>
  <c r="X218" i="8"/>
  <c r="U218" i="8"/>
  <c r="AA219" i="8"/>
  <c r="V210" i="8"/>
  <c r="W210" i="8"/>
  <c r="X210" i="8"/>
  <c r="U210" i="8"/>
  <c r="T211" i="8"/>
  <c r="AA211" i="8" s="1"/>
  <c r="V202" i="8"/>
  <c r="W202" i="8"/>
  <c r="X202" i="8"/>
  <c r="Y202" i="8"/>
  <c r="Z202" i="8"/>
  <c r="AA203" i="8"/>
  <c r="AA206" i="8"/>
  <c r="U24" i="8"/>
  <c r="AA149" i="8"/>
  <c r="AA150" i="8"/>
  <c r="U244" i="8"/>
  <c r="U335" i="8"/>
  <c r="U292" i="8"/>
  <c r="X195" i="8" l="1"/>
  <c r="U202" i="8"/>
  <c r="U245" i="8"/>
  <c r="U242" i="8" s="1"/>
  <c r="W242" i="8"/>
  <c r="U146" i="8" l="1"/>
  <c r="U121" i="8" l="1"/>
  <c r="U200" i="8" l="1"/>
  <c r="U173" i="8" s="1"/>
  <c r="V200" i="8" l="1"/>
  <c r="W200" i="8"/>
  <c r="W173" i="8" s="1"/>
  <c r="X200" i="8"/>
  <c r="Y200" i="8"/>
  <c r="Y173" i="8" s="1"/>
  <c r="Z200" i="8"/>
  <c r="V198" i="8"/>
  <c r="W198" i="8"/>
  <c r="W174" i="8" s="1"/>
  <c r="X174" i="8"/>
  <c r="X175" i="8" s="1"/>
  <c r="Y198" i="8"/>
  <c r="Y174" i="8" s="1"/>
  <c r="Z198" i="8"/>
  <c r="AA25" i="8"/>
  <c r="AA24" i="8"/>
  <c r="X545" i="8"/>
  <c r="U201" i="8" l="1"/>
  <c r="AA201" i="8" s="1"/>
  <c r="AA225" i="8"/>
  <c r="AA224" i="8"/>
  <c r="AA223" i="8"/>
  <c r="AA217" i="8"/>
  <c r="AA209" i="8"/>
  <c r="AA232" i="8"/>
  <c r="AA233" i="8"/>
  <c r="AA231" i="8"/>
  <c r="AA584" i="8"/>
  <c r="AA604" i="8" l="1"/>
  <c r="AA569" i="8"/>
  <c r="AA147" i="8"/>
  <c r="AA125" i="8"/>
  <c r="AA105" i="8"/>
  <c r="AA103" i="8"/>
  <c r="AA101" i="8"/>
  <c r="AA99" i="8"/>
  <c r="AA97" i="8"/>
  <c r="AA95" i="8"/>
  <c r="AA93" i="8"/>
  <c r="AA91" i="8"/>
  <c r="AA118" i="8"/>
  <c r="AA122" i="8"/>
  <c r="AA120" i="8"/>
  <c r="AA154" i="8"/>
  <c r="AA48" i="8"/>
  <c r="Y30" i="8"/>
  <c r="Y26" i="8" s="1"/>
  <c r="Z30" i="8"/>
  <c r="Z114" i="8"/>
  <c r="Z113" i="8"/>
  <c r="Z89" i="8"/>
  <c r="Z36" i="8" s="1"/>
  <c r="Z88" i="8"/>
  <c r="Z87" i="8"/>
  <c r="Z86" i="8"/>
  <c r="Z67" i="8"/>
  <c r="Z35" i="8" s="1"/>
  <c r="Z66" i="8"/>
  <c r="Z56" i="8"/>
  <c r="Z34" i="8" s="1"/>
  <c r="Z55" i="8"/>
  <c r="Z49" i="8"/>
  <c r="Z39" i="8"/>
  <c r="Z31" i="8"/>
  <c r="Z146" i="8"/>
  <c r="AA214" i="8"/>
  <c r="AA230" i="8"/>
  <c r="AA222" i="8"/>
  <c r="AA524" i="8"/>
  <c r="AA518" i="8"/>
  <c r="AA515" i="8"/>
  <c r="AA563" i="8"/>
  <c r="AA562" i="8"/>
  <c r="AA558" i="8"/>
  <c r="AA555" i="8"/>
  <c r="AA552" i="8"/>
  <c r="AA549" i="8"/>
  <c r="Z546" i="8"/>
  <c r="Z542" i="8" s="1"/>
  <c r="Z545" i="8"/>
  <c r="AA526" i="8"/>
  <c r="AA525" i="8"/>
  <c r="AA523" i="8"/>
  <c r="AA522" i="8"/>
  <c r="AA521" i="8"/>
  <c r="AA520" i="8"/>
  <c r="AA519" i="8"/>
  <c r="AA517" i="8"/>
  <c r="AA516" i="8"/>
  <c r="AA509" i="8"/>
  <c r="AA508" i="8"/>
  <c r="Z174" i="8"/>
  <c r="Y180" i="8"/>
  <c r="Z181" i="8"/>
  <c r="Z182" i="8"/>
  <c r="AA192" i="8"/>
  <c r="AA194" i="8"/>
  <c r="AA215" i="8"/>
  <c r="AA208" i="8"/>
  <c r="AA207" i="8"/>
  <c r="Z197" i="8"/>
  <c r="Z196" i="8"/>
  <c r="AA235" i="8"/>
  <c r="AA239" i="8"/>
  <c r="AA238" i="8"/>
  <c r="Z234" i="8"/>
  <c r="AA585" i="8"/>
  <c r="AA582" i="8"/>
  <c r="AA583" i="8"/>
  <c r="AA580" i="8"/>
  <c r="AA575" i="8"/>
  <c r="AA572" i="8"/>
  <c r="AA578" i="8"/>
  <c r="Z543" i="8"/>
  <c r="U577" i="8"/>
  <c r="U574" i="8"/>
  <c r="U571" i="8"/>
  <c r="U568" i="8"/>
  <c r="Z180" i="8" l="1"/>
  <c r="Z173" i="8"/>
  <c r="Z29" i="8"/>
  <c r="U581" i="8"/>
  <c r="AA581" i="8" s="1"/>
  <c r="Z195" i="8"/>
  <c r="Z172" i="8" s="1"/>
  <c r="AA601" i="8"/>
  <c r="AA599" i="8"/>
  <c r="AA596" i="8"/>
  <c r="AA598" i="8"/>
  <c r="Z587" i="8"/>
  <c r="AA589" i="8"/>
  <c r="AA591" i="8"/>
  <c r="AA593" i="8"/>
  <c r="AA595" i="8"/>
  <c r="Z586" i="8"/>
  <c r="AA609" i="8"/>
  <c r="AA610" i="8"/>
  <c r="AA611" i="8"/>
  <c r="AA608" i="8"/>
  <c r="Z603" i="8"/>
  <c r="AA152" i="8"/>
  <c r="U565" i="8" l="1"/>
  <c r="Z541" i="8"/>
  <c r="AA148" i="8"/>
  <c r="AA228" i="8"/>
  <c r="AA220" i="8"/>
  <c r="AA212" i="8"/>
  <c r="Z15" i="8" l="1"/>
  <c r="X546" i="8"/>
  <c r="U545" i="8"/>
  <c r="W545" i="8"/>
  <c r="Y545" i="8"/>
  <c r="U546" i="8"/>
  <c r="V546" i="8"/>
  <c r="W546" i="8"/>
  <c r="Y546" i="8"/>
  <c r="T546" i="8"/>
  <c r="AA546" i="8" l="1"/>
  <c r="T64" i="8" l="1"/>
  <c r="AA64" i="8" s="1"/>
  <c r="U89" i="8" l="1"/>
  <c r="U36" i="8" s="1"/>
  <c r="AA157" i="8"/>
  <c r="AA156" i="8"/>
  <c r="T43" i="8" l="1"/>
  <c r="T175" i="8" l="1"/>
  <c r="T243" i="8" l="1"/>
  <c r="T178" i="8" l="1"/>
  <c r="T24" i="8" l="1"/>
  <c r="T176" i="8" l="1"/>
  <c r="T25" i="8" l="1"/>
  <c r="T241" i="8" l="1"/>
  <c r="AA241" i="8" s="1"/>
  <c r="T106" i="8" l="1"/>
  <c r="AA106" i="8" s="1"/>
  <c r="T236" i="8"/>
  <c r="AA236" i="8" s="1"/>
  <c r="T237" i="8"/>
  <c r="AA237" i="8" s="1"/>
  <c r="T42" i="8"/>
  <c r="T126" i="8"/>
  <c r="AA126" i="8" s="1"/>
  <c r="T123" i="8"/>
  <c r="AA123" i="8" s="1"/>
  <c r="T594" i="8"/>
  <c r="AA594" i="8" s="1"/>
  <c r="T557" i="8"/>
  <c r="AA557" i="8" s="1"/>
  <c r="T189" i="8"/>
  <c r="T121" i="8"/>
  <c r="AA121" i="8" s="1"/>
  <c r="T102" i="8"/>
  <c r="AA102" i="8" s="1"/>
  <c r="T117" i="8"/>
  <c r="AA117" i="8" s="1"/>
  <c r="T98" i="8"/>
  <c r="AA98" i="8" s="1"/>
  <c r="T94" i="8"/>
  <c r="AA94" i="8" s="1"/>
  <c r="T59" i="8"/>
  <c r="AA59" i="8" s="1"/>
  <c r="T554" i="8"/>
  <c r="AA554" i="8" s="1"/>
  <c r="T61" i="8"/>
  <c r="AA61" i="8" s="1"/>
  <c r="T588" i="8"/>
  <c r="AA588" i="8" s="1"/>
  <c r="T548" i="8"/>
  <c r="AA548" i="8" s="1"/>
  <c r="T115" i="8"/>
  <c r="AA115" i="8" s="1"/>
  <c r="T90" i="8"/>
  <c r="AA90" i="8" s="1"/>
  <c r="AA68" i="8"/>
  <c r="AA111" i="8" l="1"/>
  <c r="T244" i="8" l="1"/>
  <c r="AA244" i="8" s="1"/>
  <c r="AA615" i="8" l="1"/>
  <c r="U27" i="8" l="1"/>
  <c r="V27" i="8"/>
  <c r="T27" i="8"/>
  <c r="U182" i="8" l="1"/>
  <c r="V182" i="8"/>
  <c r="W182" i="8"/>
  <c r="X182" i="8"/>
  <c r="Y182" i="8"/>
  <c r="T182" i="8"/>
  <c r="AA182" i="8" s="1"/>
  <c r="V180" i="8"/>
  <c r="U31" i="8"/>
  <c r="V31" i="8"/>
  <c r="W31" i="8"/>
  <c r="T31" i="8"/>
  <c r="U30" i="8"/>
  <c r="U26" i="8" s="1"/>
  <c r="V30" i="8"/>
  <c r="V26" i="8" s="1"/>
  <c r="W26" i="8"/>
  <c r="X26" i="8"/>
  <c r="AA26" i="8" s="1"/>
  <c r="T30" i="8"/>
  <c r="T26" i="8" s="1"/>
  <c r="AA30" i="8" l="1"/>
  <c r="AA180" i="8"/>
  <c r="Y89" i="8" l="1"/>
  <c r="Y36" i="8" s="1"/>
  <c r="T89" i="8"/>
  <c r="X89" i="8"/>
  <c r="X36" i="8" s="1"/>
  <c r="W89" i="8"/>
  <c r="W36" i="8" s="1"/>
  <c r="U602" i="8"/>
  <c r="V602" i="8"/>
  <c r="Y602" i="8"/>
  <c r="T602" i="8"/>
  <c r="AA602" i="8" l="1"/>
  <c r="T36" i="8"/>
  <c r="V89" i="8"/>
  <c r="V36" i="8" s="1"/>
  <c r="T226" i="8"/>
  <c r="T218" i="8"/>
  <c r="T210" i="8"/>
  <c r="T202" i="8"/>
  <c r="AA202" i="8" s="1"/>
  <c r="U86" i="8"/>
  <c r="AA36" i="8" l="1"/>
  <c r="AA226" i="8"/>
  <c r="AA89" i="8"/>
  <c r="AA210" i="8"/>
  <c r="AA218" i="8"/>
  <c r="AA190" i="8"/>
  <c r="AA188" i="8"/>
  <c r="AA186" i="8"/>
  <c r="AA184" i="8"/>
  <c r="T198" i="8"/>
  <c r="T116" i="8"/>
  <c r="T57" i="8"/>
  <c r="AA57" i="8" s="1"/>
  <c r="AA189" i="8"/>
  <c r="T590" i="8"/>
  <c r="AA590" i="8" s="1"/>
  <c r="T592" i="8"/>
  <c r="AA592" i="8" s="1"/>
  <c r="T551" i="8"/>
  <c r="AA551" i="8" s="1"/>
  <c r="T507" i="8"/>
  <c r="AA507" i="8" s="1"/>
  <c r="T119" i="8"/>
  <c r="AA119" i="8" s="1"/>
  <c r="AA74" i="8"/>
  <c r="AA42" i="8"/>
  <c r="T146" i="8"/>
  <c r="T185" i="8"/>
  <c r="AA185" i="8" s="1"/>
  <c r="AA616" i="8"/>
  <c r="Y603" i="8"/>
  <c r="X603" i="8"/>
  <c r="W603" i="8"/>
  <c r="V603" i="8"/>
  <c r="U603" i="8"/>
  <c r="T603" i="8"/>
  <c r="AA603" i="8"/>
  <c r="AA600" i="8"/>
  <c r="Y587" i="8"/>
  <c r="X587" i="8"/>
  <c r="W587" i="8"/>
  <c r="V587" i="8"/>
  <c r="V544" i="8" s="1"/>
  <c r="U587" i="8"/>
  <c r="U544" i="8" s="1"/>
  <c r="Y586" i="8"/>
  <c r="X586" i="8"/>
  <c r="W586" i="8"/>
  <c r="V586" i="8"/>
  <c r="U586" i="8"/>
  <c r="U541" i="8" s="1"/>
  <c r="AA579" i="8"/>
  <c r="T577" i="8"/>
  <c r="Y576" i="8"/>
  <c r="W576" i="8"/>
  <c r="V576" i="8"/>
  <c r="U576" i="8"/>
  <c r="T576" i="8"/>
  <c r="T574" i="8"/>
  <c r="Y573" i="8"/>
  <c r="W573" i="8"/>
  <c r="V573" i="8"/>
  <c r="U573" i="8"/>
  <c r="T573" i="8"/>
  <c r="T571" i="8"/>
  <c r="Y570" i="8"/>
  <c r="W570" i="8"/>
  <c r="V570" i="8"/>
  <c r="U570" i="8"/>
  <c r="T570" i="8"/>
  <c r="T568" i="8"/>
  <c r="Y567" i="8"/>
  <c r="X567" i="8"/>
  <c r="W567" i="8"/>
  <c r="V567" i="8"/>
  <c r="U567" i="8"/>
  <c r="T567" i="8"/>
  <c r="Y566" i="8"/>
  <c r="Y543" i="8" s="1"/>
  <c r="X566" i="8"/>
  <c r="X543" i="8" s="1"/>
  <c r="W566" i="8"/>
  <c r="W543" i="8" s="1"/>
  <c r="V566" i="8"/>
  <c r="V543" i="8" s="1"/>
  <c r="U543" i="8"/>
  <c r="T566" i="8"/>
  <c r="Y542" i="8"/>
  <c r="X542" i="8"/>
  <c r="W542" i="8"/>
  <c r="V542" i="8"/>
  <c r="U542" i="8"/>
  <c r="AA506" i="8"/>
  <c r="AA505" i="8"/>
  <c r="AA504" i="8"/>
  <c r="AA503" i="8"/>
  <c r="AA502" i="8"/>
  <c r="T501" i="8"/>
  <c r="AA501" i="8" s="1"/>
  <c r="AA500" i="8"/>
  <c r="AA499" i="8"/>
  <c r="AA498" i="8"/>
  <c r="AA497" i="8"/>
  <c r="AA496" i="8"/>
  <c r="T495" i="8"/>
  <c r="AA495" i="8" s="1"/>
  <c r="AA494" i="8"/>
  <c r="AA493" i="8"/>
  <c r="AA492" i="8"/>
  <c r="AA491" i="8"/>
  <c r="AA490" i="8"/>
  <c r="T489" i="8"/>
  <c r="AA489" i="8" s="1"/>
  <c r="AA488" i="8"/>
  <c r="AA487" i="8"/>
  <c r="AA486" i="8"/>
  <c r="AA485" i="8"/>
  <c r="AA484" i="8"/>
  <c r="T483" i="8"/>
  <c r="AA483" i="8" s="1"/>
  <c r="AA482" i="8"/>
  <c r="AA481" i="8"/>
  <c r="AA480" i="8"/>
  <c r="AA479" i="8"/>
  <c r="AA478" i="8"/>
  <c r="T477" i="8"/>
  <c r="AA477" i="8" s="1"/>
  <c r="AA476" i="8"/>
  <c r="AA475" i="8"/>
  <c r="AA474" i="8"/>
  <c r="AA473" i="8"/>
  <c r="T472" i="8"/>
  <c r="AA472" i="8" s="1"/>
  <c r="AA471" i="8"/>
  <c r="AA470" i="8"/>
  <c r="AA469" i="8"/>
  <c r="AA468" i="8"/>
  <c r="AA467" i="8"/>
  <c r="T466" i="8"/>
  <c r="AA466" i="8" s="1"/>
  <c r="AA465" i="8"/>
  <c r="AA464" i="8"/>
  <c r="AA463" i="8"/>
  <c r="AA462" i="8"/>
  <c r="AA461" i="8"/>
  <c r="T460" i="8"/>
  <c r="AA460" i="8" s="1"/>
  <c r="AA459" i="8"/>
  <c r="AA458" i="8"/>
  <c r="AA457" i="8"/>
  <c r="AA456" i="8"/>
  <c r="AA455" i="8"/>
  <c r="T454" i="8"/>
  <c r="AA454" i="8" s="1"/>
  <c r="AA453" i="8"/>
  <c r="AA452" i="8"/>
  <c r="AA451" i="8"/>
  <c r="AA450" i="8"/>
  <c r="AA449" i="8"/>
  <c r="T448" i="8"/>
  <c r="AA448" i="8" s="1"/>
  <c r="AA447" i="8"/>
  <c r="AA446" i="8"/>
  <c r="AA445" i="8"/>
  <c r="AA444" i="8"/>
  <c r="AA443" i="8"/>
  <c r="T442" i="8"/>
  <c r="AA442" i="8" s="1"/>
  <c r="AA441" i="8"/>
  <c r="AA440" i="8"/>
  <c r="AA439" i="8"/>
  <c r="T432" i="8"/>
  <c r="AA432" i="8" s="1"/>
  <c r="T431" i="8"/>
  <c r="AA431" i="8" s="1"/>
  <c r="AA429" i="8"/>
  <c r="AA428" i="8"/>
  <c r="AA427" i="8"/>
  <c r="AA426" i="8"/>
  <c r="AA425" i="8"/>
  <c r="AA424" i="8"/>
  <c r="T423" i="8"/>
  <c r="AA423" i="8" s="1"/>
  <c r="AA422" i="8"/>
  <c r="AA421" i="8"/>
  <c r="AA420" i="8"/>
  <c r="AA419" i="8"/>
  <c r="AA418" i="8"/>
  <c r="T417" i="8"/>
  <c r="AA417" i="8" s="1"/>
  <c r="AA416" i="8"/>
  <c r="AA415" i="8"/>
  <c r="AA414" i="8"/>
  <c r="AA413" i="8"/>
  <c r="AA412" i="8"/>
  <c r="T411" i="8"/>
  <c r="AA411" i="8" s="1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AA398" i="8"/>
  <c r="T397" i="8"/>
  <c r="AA397" i="8" s="1"/>
  <c r="AA396" i="8"/>
  <c r="AA395" i="8"/>
  <c r="AA394" i="8"/>
  <c r="AA393" i="8"/>
  <c r="AA392" i="8"/>
  <c r="AA391" i="8"/>
  <c r="T390" i="8"/>
  <c r="AA390" i="8" s="1"/>
  <c r="AA389" i="8"/>
  <c r="AA388" i="8"/>
  <c r="AA387" i="8"/>
  <c r="AA386" i="8"/>
  <c r="AA385" i="8"/>
  <c r="AA384" i="8"/>
  <c r="T383" i="8"/>
  <c r="AA383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AA370" i="8"/>
  <c r="T369" i="8"/>
  <c r="AA369" i="8" s="1"/>
  <c r="AA368" i="8"/>
  <c r="AA367" i="8"/>
  <c r="AA366" i="8"/>
  <c r="AA365" i="8"/>
  <c r="AA364" i="8"/>
  <c r="AA363" i="8"/>
  <c r="T362" i="8"/>
  <c r="AA362" i="8" s="1"/>
  <c r="AA361" i="8"/>
  <c r="AA360" i="8"/>
  <c r="AA359" i="8"/>
  <c r="AA358" i="8"/>
  <c r="AA357" i="8"/>
  <c r="AA356" i="8"/>
  <c r="T355" i="8"/>
  <c r="AA355" i="8" s="1"/>
  <c r="AA354" i="8"/>
  <c r="AA353" i="8"/>
  <c r="AA352" i="8"/>
  <c r="AA351" i="8"/>
  <c r="AA350" i="8"/>
  <c r="T349" i="8"/>
  <c r="AA349" i="8" s="1"/>
  <c r="AA348" i="8"/>
  <c r="AA347" i="8"/>
  <c r="T338" i="8"/>
  <c r="AA338" i="8" s="1"/>
  <c r="T336" i="8"/>
  <c r="AA336" i="8" s="1"/>
  <c r="AA334" i="8"/>
  <c r="AA333" i="8"/>
  <c r="AA332" i="8"/>
  <c r="AA331" i="8"/>
  <c r="T330" i="8"/>
  <c r="AA330" i="8" s="1"/>
  <c r="AA329" i="8"/>
  <c r="AA328" i="8"/>
  <c r="AA327" i="8"/>
  <c r="AA326" i="8"/>
  <c r="T325" i="8"/>
  <c r="AA325" i="8" s="1"/>
  <c r="AA324" i="8"/>
  <c r="AA323" i="8"/>
  <c r="AA322" i="8"/>
  <c r="AA321" i="8"/>
  <c r="T320" i="8"/>
  <c r="AA319" i="8"/>
  <c r="AA318" i="8"/>
  <c r="AA317" i="8"/>
  <c r="AA316" i="8"/>
  <c r="T315" i="8"/>
  <c r="AA315" i="8" s="1"/>
  <c r="AA314" i="8"/>
  <c r="AA313" i="8"/>
  <c r="AA312" i="8"/>
  <c r="AA311" i="8"/>
  <c r="T310" i="8"/>
  <c r="AA310" i="8" s="1"/>
  <c r="AA309" i="8"/>
  <c r="AA308" i="8"/>
  <c r="AA307" i="8"/>
  <c r="AA306" i="8"/>
  <c r="AA305" i="8"/>
  <c r="T304" i="8"/>
  <c r="AA304" i="8" s="1"/>
  <c r="AA303" i="8"/>
  <c r="AA302" i="8"/>
  <c r="T295" i="8"/>
  <c r="AA295" i="8" s="1"/>
  <c r="T293" i="8"/>
  <c r="AA293" i="8" s="1"/>
  <c r="AA291" i="8"/>
  <c r="AA290" i="8"/>
  <c r="AA289" i="8"/>
  <c r="AA288" i="8"/>
  <c r="AA287" i="8"/>
  <c r="T286" i="8"/>
  <c r="AA286" i="8" s="1"/>
  <c r="AA285" i="8"/>
  <c r="AA284" i="8"/>
  <c r="AA283" i="8"/>
  <c r="AA282" i="8"/>
  <c r="AA281" i="8"/>
  <c r="AA280" i="8"/>
  <c r="T279" i="8"/>
  <c r="AA279" i="8" s="1"/>
  <c r="AA278" i="8"/>
  <c r="AA277" i="8"/>
  <c r="AA276" i="8"/>
  <c r="AA275" i="8"/>
  <c r="AA274" i="8"/>
  <c r="T273" i="8"/>
  <c r="AA273" i="8" s="1"/>
  <c r="AA272" i="8"/>
  <c r="AA271" i="8"/>
  <c r="AA270" i="8"/>
  <c r="AA269" i="8"/>
  <c r="AA268" i="8"/>
  <c r="T267" i="8"/>
  <c r="AA266" i="8"/>
  <c r="AA265" i="8"/>
  <c r="AA264" i="8"/>
  <c r="AA263" i="8"/>
  <c r="T262" i="8"/>
  <c r="AA262" i="8" s="1"/>
  <c r="AA261" i="8"/>
  <c r="AD260" i="8"/>
  <c r="AA260" i="8"/>
  <c r="AD259" i="8"/>
  <c r="AA259" i="8"/>
  <c r="AD258" i="8"/>
  <c r="AA258" i="8"/>
  <c r="AD257" i="8"/>
  <c r="T257" i="8"/>
  <c r="AA257" i="8" s="1"/>
  <c r="T246" i="8"/>
  <c r="AA246" i="8" s="1"/>
  <c r="Y234" i="8"/>
  <c r="Y195" i="8" s="1"/>
  <c r="X234" i="8"/>
  <c r="W234" i="8"/>
  <c r="W195" i="8" s="1"/>
  <c r="V234" i="8"/>
  <c r="V195" i="8" s="1"/>
  <c r="U234" i="8"/>
  <c r="V173" i="8"/>
  <c r="T200" i="8"/>
  <c r="T199" i="8"/>
  <c r="Y197" i="8"/>
  <c r="X197" i="8"/>
  <c r="W197" i="8"/>
  <c r="V197" i="8"/>
  <c r="U197" i="8"/>
  <c r="Y196" i="8"/>
  <c r="X196" i="8"/>
  <c r="W196" i="8"/>
  <c r="V196" i="8"/>
  <c r="U196" i="8"/>
  <c r="AA187" i="8"/>
  <c r="AA183" i="8"/>
  <c r="Y181" i="8"/>
  <c r="X181" i="8"/>
  <c r="W181" i="8"/>
  <c r="V181" i="8"/>
  <c r="U181" i="8"/>
  <c r="Y146" i="8"/>
  <c r="W146" i="8"/>
  <c r="V146" i="8"/>
  <c r="T143" i="8"/>
  <c r="AA143" i="8" s="1"/>
  <c r="Y114" i="8"/>
  <c r="X114" i="8"/>
  <c r="W114" i="8"/>
  <c r="V114" i="8"/>
  <c r="U114" i="8"/>
  <c r="Y113" i="8"/>
  <c r="X113" i="8"/>
  <c r="W113" i="8"/>
  <c r="V113" i="8"/>
  <c r="U113" i="8"/>
  <c r="Y88" i="8"/>
  <c r="X88" i="8"/>
  <c r="W88" i="8"/>
  <c r="V88" i="8"/>
  <c r="U88" i="8"/>
  <c r="T88" i="8"/>
  <c r="Y87" i="8"/>
  <c r="X87" i="8"/>
  <c r="W87" i="8"/>
  <c r="V87" i="8"/>
  <c r="U87" i="8"/>
  <c r="T87" i="8"/>
  <c r="Y86" i="8"/>
  <c r="X86" i="8"/>
  <c r="W86" i="8"/>
  <c r="V86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1" i="8"/>
  <c r="AA31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X29" i="8" l="1"/>
  <c r="W172" i="8"/>
  <c r="V29" i="8"/>
  <c r="AA267" i="8"/>
  <c r="AA248" i="8"/>
  <c r="X172" i="8"/>
  <c r="Y29" i="8"/>
  <c r="Y172" i="8"/>
  <c r="W29" i="8"/>
  <c r="U29" i="8"/>
  <c r="T292" i="8"/>
  <c r="AA292" i="8" s="1"/>
  <c r="AA33" i="8"/>
  <c r="AA586" i="8"/>
  <c r="AA568" i="8"/>
  <c r="AA198" i="8"/>
  <c r="AA28" i="8"/>
  <c r="AA87" i="8"/>
  <c r="T173" i="8"/>
  <c r="AA173" i="8" s="1"/>
  <c r="AA200" i="8"/>
  <c r="AA571" i="8"/>
  <c r="AA146" i="8"/>
  <c r="AA574" i="8"/>
  <c r="U195" i="8"/>
  <c r="U172" i="8" s="1"/>
  <c r="AA577" i="8"/>
  <c r="AA243" i="8"/>
  <c r="T114" i="8"/>
  <c r="AA114" i="8" s="1"/>
  <c r="AA116" i="8"/>
  <c r="T545" i="8"/>
  <c r="AA545" i="8" s="1"/>
  <c r="T543" i="8"/>
  <c r="AA543" i="8" s="1"/>
  <c r="AA566" i="8"/>
  <c r="U174" i="8"/>
  <c r="T335" i="8"/>
  <c r="AA335" i="8" s="1"/>
  <c r="V174" i="8"/>
  <c r="T174" i="8"/>
  <c r="V172" i="8"/>
  <c r="T587" i="8"/>
  <c r="AA587" i="8" s="1"/>
  <c r="T564" i="8"/>
  <c r="X541" i="8"/>
  <c r="AA570" i="8"/>
  <c r="AA576" i="8"/>
  <c r="V564" i="8"/>
  <c r="Y564" i="8"/>
  <c r="AA567" i="8"/>
  <c r="AA573" i="8"/>
  <c r="X564" i="8"/>
  <c r="T586" i="8"/>
  <c r="W564" i="8"/>
  <c r="T66" i="8"/>
  <c r="AA66" i="8" s="1"/>
  <c r="T565" i="8"/>
  <c r="AA49" i="8"/>
  <c r="U564" i="8"/>
  <c r="T197" i="8"/>
  <c r="AA197" i="8" s="1"/>
  <c r="T113" i="8"/>
  <c r="AA113" i="8" s="1"/>
  <c r="AD261" i="8"/>
  <c r="AA320" i="8"/>
  <c r="T430" i="8"/>
  <c r="V565" i="8"/>
  <c r="V541" i="8" s="1"/>
  <c r="T181" i="8"/>
  <c r="AA181" i="8" s="1"/>
  <c r="T196" i="8"/>
  <c r="AA196" i="8" s="1"/>
  <c r="Y565" i="8"/>
  <c r="Y541" i="8" s="1"/>
  <c r="W565" i="8"/>
  <c r="W541" i="8" s="1"/>
  <c r="T86" i="8"/>
  <c r="AA86" i="8" s="1"/>
  <c r="T234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75" i="8" l="1"/>
  <c r="T245" i="8"/>
  <c r="V175" i="8"/>
  <c r="Z175" i="8"/>
  <c r="AA175" i="8" s="1"/>
  <c r="V15" i="8"/>
  <c r="U175" i="8"/>
  <c r="Y175" i="8"/>
  <c r="AA174" i="8"/>
  <c r="U15" i="8"/>
  <c r="X15" i="8"/>
  <c r="Y15" i="8"/>
  <c r="W15" i="8"/>
  <c r="AA565" i="8"/>
  <c r="T195" i="8"/>
  <c r="AA195" i="8" s="1"/>
  <c r="AA234" i="8"/>
  <c r="T29" i="8"/>
  <c r="T544" i="8"/>
  <c r="AA544" i="8" s="1"/>
  <c r="AA564" i="8"/>
  <c r="T541" i="8"/>
  <c r="AA541" i="8" s="1"/>
  <c r="T542" i="8"/>
  <c r="AA542" i="8" s="1"/>
  <c r="AA39" i="8"/>
  <c r="AA18" i="8"/>
  <c r="AA21" i="8"/>
  <c r="AA16" i="8"/>
  <c r="AA245" i="8" l="1"/>
  <c r="T242" i="8"/>
  <c r="T172" i="8" s="1"/>
  <c r="AA29" i="8"/>
  <c r="AA242" i="8" l="1"/>
  <c r="AA172" i="8"/>
  <c r="T15" i="8" l="1"/>
  <c r="AA15" i="8" s="1"/>
</calcChain>
</file>

<file path=xl/sharedStrings.xml><?xml version="1.0" encoding="utf-8"?>
<sst xmlns="http://schemas.openxmlformats.org/spreadsheetml/2006/main" count="6391" uniqueCount="387">
  <si>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</si>
  <si>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</si>
  <si>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</si>
  <si>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</si>
  <si>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</si>
  <si>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</si>
  <si>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</si>
  <si>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</si>
  <si>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</si>
  <si>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</si>
  <si>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</si>
  <si>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</si>
  <si>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</si>
  <si>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</si>
  <si>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</si>
  <si>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</si>
  <si>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</si>
  <si>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</si>
  <si>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</si>
  <si>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</si>
  <si>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</si>
  <si>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</si>
  <si>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</si>
  <si>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</si>
  <si>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</si>
  <si>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</si>
  <si>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</si>
  <si>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</si>
  <si>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</si>
  <si>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</si>
  <si>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</si>
  <si>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</si>
  <si>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</si>
  <si>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</si>
  <si>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</si>
  <si>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</si>
  <si>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</si>
  <si>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</si>
  <si>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</si>
  <si>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</si>
  <si>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</si>
  <si>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</si>
  <si>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</si>
  <si>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</si>
  <si>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</si>
  <si>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</si>
  <si>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</si>
  <si>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</si>
  <si>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</si>
  <si>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</si>
  <si>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</si>
  <si>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</si>
  <si>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</si>
  <si>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</si>
  <si>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</si>
  <si>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</si>
  <si>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</si>
  <si>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</si>
  <si>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</si>
  <si>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</si>
  <si>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</si>
  <si>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</si>
  <si>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</si>
  <si>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</si>
  <si>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</si>
  <si>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</si>
  <si>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</si>
  <si>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</si>
  <si>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</si>
  <si>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</si>
  <si>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</si>
  <si>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</si>
  <si>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</si>
  <si>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</si>
  <si>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</si>
  <si>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</si>
  <si>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</si>
  <si>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</si>
  <si>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</si>
  <si>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</si>
  <si>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</si>
  <si>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</si>
  <si>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</si>
  <si>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</si>
  <si>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</si>
  <si>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</si>
  <si>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</si>
  <si>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</si>
  <si>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</si>
  <si>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</si>
  <si>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</si>
  <si>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</si>
  <si>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</si>
  <si>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</si>
  <si>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</si>
  <si>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</si>
  <si>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</si>
  <si>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</si>
  <si>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</si>
  <si>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</si>
  <si>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</si>
  <si>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</si>
  <si>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</si>
  <si>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</si>
  <si>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</si>
  <si>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</si>
  <si>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</si>
  <si>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</si>
  <si>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</si>
  <si>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</si>
  <si>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</si>
  <si>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</si>
  <si>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</si>
  <si>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</si>
  <si>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</si>
  <si>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</si>
  <si>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</si>
  <si>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</si>
  <si>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</si>
  <si>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</si>
  <si>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</si>
  <si>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</si>
  <si>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</si>
  <si>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</si>
  <si>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</si>
  <si>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</si>
  <si>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</si>
  <si>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</si>
  <si>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</si>
  <si>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</si>
  <si>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</si>
  <si>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</si>
  <si>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</si>
  <si>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</si>
  <si>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</si>
  <si>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</si>
  <si>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</si>
  <si>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</si>
  <si>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</si>
  <si>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</si>
  <si>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</si>
  <si>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</si>
  <si>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</si>
  <si>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</si>
  <si>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</si>
  <si>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</si>
  <si>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</si>
  <si>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</si>
  <si>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</si>
  <si>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</si>
  <si>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</si>
  <si>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</si>
  <si>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</si>
  <si>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</si>
  <si>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</si>
  <si>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</si>
  <si>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</si>
  <si>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</si>
  <si>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</si>
  <si>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</si>
  <si>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</si>
  <si>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</si>
  <si>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</si>
  <si>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</si>
  <si>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</si>
  <si>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</si>
  <si>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</si>
  <si>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</si>
  <si>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</si>
  <si>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</si>
  <si>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</si>
  <si>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</si>
  <si>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</si>
  <si>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</si>
  <si>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</si>
  <si>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</si>
  <si>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</si>
  <si>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</si>
  <si>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</si>
  <si>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</si>
  <si>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</si>
  <si>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</si>
  <si>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</si>
  <si>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</si>
  <si>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</si>
  <si>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</si>
  <si>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</si>
  <si>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</si>
  <si>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</si>
  <si>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</si>
  <si>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</si>
  <si>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</si>
  <si>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</si>
  <si>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</si>
  <si>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</si>
  <si>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</si>
  <si>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</si>
  <si>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</si>
  <si>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</si>
  <si>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</si>
  <si>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</si>
  <si>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</si>
  <si>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</si>
  <si>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</si>
  <si>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</si>
  <si>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</si>
  <si>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</si>
  <si>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</si>
  <si>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</si>
  <si>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</si>
  <si>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</si>
  <si>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</si>
  <si>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</si>
  <si>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</si>
  <si>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</si>
  <si>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</si>
  <si>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</si>
  <si>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</si>
  <si>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</si>
  <si>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</si>
  <si>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</si>
  <si>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</si>
  <si>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</si>
  <si>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</si>
  <si>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</si>
  <si>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</si>
  <si>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</si>
  <si>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</si>
  <si>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</si>
  <si>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</si>
  <si>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</si>
  <si>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</si>
  <si>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</si>
  <si>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</si>
  <si>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</si>
  <si>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</si>
  <si>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</si>
  <si>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</si>
  <si>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</si>
  <si>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</si>
  <si>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</si>
  <si>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</si>
  <si>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</si>
  <si>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</si>
  <si>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</si>
  <si>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</si>
  <si>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</si>
  <si>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</si>
  <si>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</si>
  <si>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</si>
  <si>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</si>
  <si>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</si>
  <si>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</si>
  <si>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</si>
  <si>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</si>
  <si>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</si>
  <si>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</si>
  <si>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</si>
  <si>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</si>
  <si>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</si>
  <si>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</si>
  <si>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</si>
  <si>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</si>
  <si>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</si>
  <si>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</si>
  <si>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</si>
  <si>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</si>
  <si>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</si>
  <si>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</si>
  <si>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</si>
  <si>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</si>
  <si>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</si>
  <si>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</si>
  <si>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</si>
  <si>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</si>
  <si>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</si>
  <si>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</si>
  <si>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</si>
  <si>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</si>
  <si>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</si>
  <si>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</si>
  <si>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</si>
  <si>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</si>
  <si>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</si>
  <si>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</si>
  <si>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</si>
  <si>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</si>
  <si>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</si>
  <si>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</si>
  <si>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</si>
  <si>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</si>
  <si>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</si>
  <si>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</si>
  <si>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</si>
  <si>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</si>
  <si>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</si>
  <si>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</si>
  <si>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</si>
  <si>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</si>
  <si>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</si>
  <si>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</si>
  <si>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</si>
  <si>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</si>
  <si>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</si>
  <si>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</si>
  <si>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</si>
  <si>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</si>
  <si>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</si>
  <si>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</si>
  <si>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</si>
  <si>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</si>
  <si>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</si>
  <si>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</si>
  <si>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</si>
  <si>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</si>
  <si>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</si>
  <si>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</si>
  <si>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</si>
  <si>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</si>
  <si>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</si>
  <si>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</si>
  <si>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</si>
  <si>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</si>
  <si>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</si>
  <si>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</si>
  <si>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</si>
  <si>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</si>
  <si>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</si>
  <si>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</si>
  <si>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</si>
  <si>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</si>
  <si>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</si>
  <si>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</si>
  <si>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</si>
  <si>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</si>
  <si>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</si>
  <si>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</si>
  <si>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</si>
  <si>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</si>
  <si>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</si>
  <si>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</si>
  <si>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</si>
  <si>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</si>
  <si>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</si>
  <si>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</si>
  <si>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</si>
  <si>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</si>
  <si>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</si>
  <si>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</si>
  <si>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</si>
  <si>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</si>
  <si>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</si>
  <si>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</si>
  <si>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</si>
  <si>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</si>
  <si>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</si>
  <si>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</si>
  <si>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</si>
  <si>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</si>
  <si>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</si>
  <si>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</si>
  <si>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</si>
  <si>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</si>
  <si>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</si>
  <si>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</si>
  <si>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</si>
  <si>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</si>
  <si>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</si>
  <si>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</si>
  <si>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</si>
  <si>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</si>
  <si>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</si>
  <si>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</si>
  <si>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</si>
  <si>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</si>
  <si>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</si>
  <si>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</si>
  <si>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</si>
  <si>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</si>
  <si>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</si>
  <si>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</si>
  <si>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</si>
  <si>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</si>
  <si>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П.Н. Кондратьев</t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</si>
  <si>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</si>
  <si>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</si>
  <si>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t>Приложение  1
к постановлению Администрации города Твери
от «1»  июля 2022 №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</si>
</sst>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2"/>
  <sheetViews>
    <sheetView tabSelected="1" view="pageBreakPreview" zoomScaleNormal="90" zoomScaleSheetLayoutView="10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86" t="s">
        <v>386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02"/>
      <c r="AD1" s="102"/>
      <c r="AE1" s="102"/>
    </row>
    <row r="2" spans="1:3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8"/>
      <c r="Y2" s="155"/>
      <c r="Z2" s="155"/>
      <c r="AA2" s="155"/>
      <c r="AB2" s="155"/>
      <c r="AC2" s="102"/>
      <c r="AD2" s="102"/>
      <c r="AE2" s="102"/>
    </row>
    <row r="3" spans="1:35" ht="13.9" customHeight="1" x14ac:dyDescent="0.25">
      <c r="A3" s="186" t="s">
        <v>310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02"/>
      <c r="AD3" s="102"/>
      <c r="AE3" s="102"/>
    </row>
    <row r="4" spans="1:35" x14ac:dyDescent="0.25">
      <c r="A4" s="186" t="s">
        <v>26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9"/>
    </row>
    <row r="5" spans="1:35" x14ac:dyDescent="0.25">
      <c r="A5" s="186" t="s">
        <v>48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9"/>
    </row>
    <row r="6" spans="1:35" x14ac:dyDescent="0.25">
      <c r="A6" s="186" t="s">
        <v>281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5"/>
      <c r="S7" s="155"/>
      <c r="T7" s="155"/>
      <c r="U7" s="155"/>
      <c r="V7" s="11"/>
      <c r="W7" s="155"/>
      <c r="X7" s="180"/>
      <c r="Y7" s="180"/>
      <c r="Z7" s="180"/>
      <c r="AA7" s="180"/>
      <c r="AB7" s="180"/>
    </row>
    <row r="8" spans="1:35" ht="18.75" x14ac:dyDescent="0.25">
      <c r="A8" s="181" t="s">
        <v>12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9"/>
      <c r="AD8" s="12"/>
    </row>
    <row r="9" spans="1:35" ht="18.75" x14ac:dyDescent="0.25">
      <c r="A9" s="181" t="s">
        <v>280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</row>
    <row r="10" spans="1:35" x14ac:dyDescent="0.25">
      <c r="A10" s="182" t="s">
        <v>57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35" ht="9" customHeight="1" x14ac:dyDescent="0.25">
      <c r="V11" s="13"/>
    </row>
    <row r="12" spans="1:35" s="97" customFormat="1" ht="40.15" customHeight="1" x14ac:dyDescent="0.25">
      <c r="A12" s="183" t="s">
        <v>16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4" t="s">
        <v>13</v>
      </c>
      <c r="S12" s="184" t="s">
        <v>33</v>
      </c>
      <c r="T12" s="184" t="s">
        <v>14</v>
      </c>
      <c r="U12" s="184"/>
      <c r="V12" s="184"/>
      <c r="W12" s="184"/>
      <c r="X12" s="184"/>
      <c r="Y12" s="184"/>
      <c r="Z12" s="184"/>
      <c r="AA12" s="185" t="s">
        <v>10</v>
      </c>
      <c r="AB12" s="185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83" t="s">
        <v>29</v>
      </c>
      <c r="B13" s="183"/>
      <c r="C13" s="183"/>
      <c r="D13" s="183" t="s">
        <v>27</v>
      </c>
      <c r="E13" s="183"/>
      <c r="F13" s="183" t="s">
        <v>28</v>
      </c>
      <c r="G13" s="183"/>
      <c r="H13" s="183" t="s">
        <v>17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4"/>
      <c r="S13" s="184"/>
      <c r="T13" s="153">
        <v>2018</v>
      </c>
      <c r="U13" s="153">
        <v>2019</v>
      </c>
      <c r="V13" s="153">
        <v>2020</v>
      </c>
      <c r="W13" s="153">
        <v>2021</v>
      </c>
      <c r="X13" s="157">
        <v>2022</v>
      </c>
      <c r="Y13" s="153">
        <v>2023</v>
      </c>
      <c r="Z13" s="153">
        <v>2024</v>
      </c>
      <c r="AA13" s="153" t="s">
        <v>11</v>
      </c>
      <c r="AB13" s="153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T29+T172+T541+T602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519185.5</v>
      </c>
      <c r="Y15" s="24">
        <f t="shared" si="0"/>
        <v>316902.59999999998</v>
      </c>
      <c r="Z15" s="24">
        <f t="shared" si="0"/>
        <v>323409.09999999998</v>
      </c>
      <c r="AA15" s="24">
        <f>SUM(T15:Z15)</f>
        <v>3185879.0150000001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4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(416.9+89.6+58.4+46.2+69.9+61.1)/2557*100</f>
        <v>29.022291748142354</v>
      </c>
      <c r="Y24" s="3">
        <f xml:space="preserve"> (416.9+89.6+58.4+46.2+69.9+61.1+64.3)/2557*100</f>
        <v>31.536957371920217</v>
      </c>
      <c r="Z24" s="3">
        <f xml:space="preserve"> (416.9+89.6+58.4+46.2+69.9+61.1+64.3+64.3)/2557*100</f>
        <v>34.051622995698082</v>
      </c>
      <c r="AA24" s="6">
        <f>Z24</f>
        <v>34.051622995698082</v>
      </c>
      <c r="AB24" s="153">
        <v>2024</v>
      </c>
      <c r="AC24" s="33" t="s">
        <v>366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((842+61)+58+42+7+17+18)/2738*100</f>
        <v>38.166544923301679</v>
      </c>
      <c r="Y25" s="3">
        <f>((842+61)+58+42+7+17+18+7)/2738*100</f>
        <v>38.422205989773559</v>
      </c>
      <c r="Z25" s="3">
        <f>((842+61)+58+42+7+17+18+7+7)/2738*100</f>
        <v>38.677867056245432</v>
      </c>
      <c r="AA25" s="6">
        <f>Z25</f>
        <v>38.677867056245432</v>
      </c>
      <c r="AB25" s="153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0.164200140944327</v>
      </c>
      <c r="X26" s="129">
        <f>X30/426.6</f>
        <v>0.14322550398499764</v>
      </c>
      <c r="Y26" s="129">
        <f>Y30/427.7</f>
        <v>0.15033902267944821</v>
      </c>
      <c r="Z26" s="129">
        <f>Z30/427.4</f>
        <v>0.15044454843238184</v>
      </c>
      <c r="AA26" s="142">
        <f>SUM(T26:Z26)</f>
        <v>1.0704801039249918</v>
      </c>
      <c r="AB26" s="153">
        <v>2024</v>
      </c>
      <c r="AC26" s="33" t="s">
        <v>365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3" t="s">
        <v>52</v>
      </c>
      <c r="T27" s="3">
        <f>T128</f>
        <v>2557</v>
      </c>
      <c r="U27" s="3">
        <f t="shared" ref="U27:Z27" si="6">U128</f>
        <v>2220.9</v>
      </c>
      <c r="V27" s="3">
        <f t="shared" si="6"/>
        <v>2165.9</v>
      </c>
      <c r="W27" s="3">
        <f>W128</f>
        <v>2189.1</v>
      </c>
      <c r="X27" s="3">
        <f t="shared" si="6"/>
        <v>2184.4999999999995</v>
      </c>
      <c r="Y27" s="3">
        <f t="shared" si="6"/>
        <v>2235.7999999999997</v>
      </c>
      <c r="Z27" s="3">
        <f t="shared" si="6"/>
        <v>2235.7999999999997</v>
      </c>
      <c r="AA27" s="5">
        <f>Z27</f>
        <v>2235.7999999999997</v>
      </c>
      <c r="AB27" s="153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3" t="s">
        <v>50</v>
      </c>
      <c r="T28" s="44">
        <f>T33</f>
        <v>2400</v>
      </c>
      <c r="U28" s="44">
        <f t="shared" ref="U28:Z28" si="7">U33</f>
        <v>2400</v>
      </c>
      <c r="V28" s="44">
        <f t="shared" si="7"/>
        <v>4059</v>
      </c>
      <c r="W28" s="44">
        <f t="shared" si="7"/>
        <v>3100</v>
      </c>
      <c r="X28" s="44">
        <f t="shared" si="7"/>
        <v>3513</v>
      </c>
      <c r="Y28" s="44">
        <f t="shared" si="7"/>
        <v>3513</v>
      </c>
      <c r="Z28" s="44">
        <f t="shared" si="7"/>
        <v>3100</v>
      </c>
      <c r="AA28" s="49">
        <f>SUM(T28:Z28)</f>
        <v>22085</v>
      </c>
      <c r="AB28" s="153">
        <v>2024</v>
      </c>
      <c r="AC28" s="33" t="s">
        <v>364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1" t="s">
        <v>253</v>
      </c>
      <c r="T29" s="140">
        <f>T39+T49+T55+T66+T86+T108+T113+T123+T126+T143+T146+T148+T156</f>
        <v>325992.60000000003</v>
      </c>
      <c r="U29" s="140">
        <f>U39+U49+U55+U66+U86+U108+U113+U123+U126+U143+U146+U148</f>
        <v>483865.9</v>
      </c>
      <c r="V29" s="140">
        <f>V39+V55+V66+V86+V108+V113+V123+V126+V143+V146+V148+V156</f>
        <v>417830.99999999994</v>
      </c>
      <c r="W29" s="140">
        <f>W39+W49+W55+W66+W86+W108+W113+W123+W126+W143+W146+W148+W156+W158</f>
        <v>361990.59999999992</v>
      </c>
      <c r="X29" s="140">
        <f>X39+X49+X55+X66+X86+X108+X113+X123+X126+X143+X146+X148+X156+X158</f>
        <v>416233</v>
      </c>
      <c r="Y29" s="140">
        <f>Y39+Y49+Y55+Y66+Y86+Y108+Y113+Y123+Y126+Y143+Y146+Y148+Y156+Y158</f>
        <v>268745.59999999998</v>
      </c>
      <c r="Z29" s="140">
        <f>Z39+Z49+Z55+Z66+Z86+Z108+Z113+Z123+Z126+Z143+Z146+Z148+Z156+Z158</f>
        <v>268745.59999999998</v>
      </c>
      <c r="AA29" s="140">
        <f>SUM(T29:Z29)</f>
        <v>2543404.2999999998</v>
      </c>
      <c r="AB29" s="141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3" t="s">
        <v>52</v>
      </c>
      <c r="T30" s="4">
        <f t="shared" ref="T30:Z30" si="8">T45+T155</f>
        <v>89.6</v>
      </c>
      <c r="U30" s="4">
        <f t="shared" si="8"/>
        <v>58.4</v>
      </c>
      <c r="V30" s="3">
        <f t="shared" si="8"/>
        <v>46.2</v>
      </c>
      <c r="W30" s="4">
        <f t="shared" si="8"/>
        <v>69.900000000000006</v>
      </c>
      <c r="X30" s="4">
        <f>X45+X155</f>
        <v>61.1</v>
      </c>
      <c r="Y30" s="4">
        <f t="shared" si="8"/>
        <v>64.3</v>
      </c>
      <c r="Z30" s="4">
        <f t="shared" si="8"/>
        <v>64.3</v>
      </c>
      <c r="AA30" s="5">
        <f>SUM(T30:Z30)</f>
        <v>453.80000000000007</v>
      </c>
      <c r="AB30" s="153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T44+T154</f>
        <v>5</v>
      </c>
      <c r="U31" s="2">
        <f>U44+U154</f>
        <v>6</v>
      </c>
      <c r="V31" s="44">
        <f>V44+V154</f>
        <v>4</v>
      </c>
      <c r="W31" s="2">
        <f>W44+W154</f>
        <v>4</v>
      </c>
      <c r="X31" s="2">
        <f>X44+X154</f>
        <v>5</v>
      </c>
      <c r="Y31" s="44">
        <f>Y154</f>
        <v>3</v>
      </c>
      <c r="Z31" s="44">
        <f>Z154</f>
        <v>3</v>
      </c>
      <c r="AA31" s="45">
        <f>SUM(T31:Z31)</f>
        <v>30</v>
      </c>
      <c r="AB31" s="153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3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3" t="s">
        <v>50</v>
      </c>
      <c r="T33" s="44">
        <f>T138</f>
        <v>2400</v>
      </c>
      <c r="U33" s="44">
        <f t="shared" ref="U33:Z33" si="9">U138</f>
        <v>2400</v>
      </c>
      <c r="V33" s="44">
        <f t="shared" si="9"/>
        <v>4059</v>
      </c>
      <c r="W33" s="44">
        <f t="shared" si="9"/>
        <v>3100</v>
      </c>
      <c r="X33" s="44">
        <f t="shared" si="9"/>
        <v>3513</v>
      </c>
      <c r="Y33" s="44">
        <f t="shared" si="9"/>
        <v>3513</v>
      </c>
      <c r="Z33" s="44">
        <f t="shared" si="9"/>
        <v>3100</v>
      </c>
      <c r="AA33" s="45">
        <f>SUM(T33:Z33)</f>
        <v>22085</v>
      </c>
      <c r="AB33" s="153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3" t="s">
        <v>38</v>
      </c>
      <c r="T34" s="44">
        <f t="shared" ref="T34:Y34" si="10">T56</f>
        <v>10</v>
      </c>
      <c r="U34" s="44">
        <f t="shared" si="10"/>
        <v>10</v>
      </c>
      <c r="V34" s="44">
        <f t="shared" si="10"/>
        <v>9</v>
      </c>
      <c r="W34" s="44">
        <f t="shared" si="10"/>
        <v>10</v>
      </c>
      <c r="X34" s="44">
        <f t="shared" si="10"/>
        <v>10</v>
      </c>
      <c r="Y34" s="44">
        <f t="shared" si="10"/>
        <v>10</v>
      </c>
      <c r="Z34" s="44">
        <f t="shared" ref="Z34" si="11">Z56</f>
        <v>10</v>
      </c>
      <c r="AA34" s="49">
        <v>10</v>
      </c>
      <c r="AB34" s="153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3" t="s">
        <v>38</v>
      </c>
      <c r="T35" s="44">
        <f t="shared" ref="T35:Y35" si="12">T67</f>
        <v>20</v>
      </c>
      <c r="U35" s="2">
        <f t="shared" si="12"/>
        <v>20</v>
      </c>
      <c r="V35" s="2">
        <f t="shared" si="12"/>
        <v>20</v>
      </c>
      <c r="W35" s="2">
        <f t="shared" si="12"/>
        <v>20</v>
      </c>
      <c r="X35" s="2">
        <f t="shared" si="12"/>
        <v>20</v>
      </c>
      <c r="Y35" s="2">
        <f t="shared" si="12"/>
        <v>20</v>
      </c>
      <c r="Z35" s="2">
        <f t="shared" ref="Z35" si="13">Z67</f>
        <v>20</v>
      </c>
      <c r="AA35" s="49">
        <v>20</v>
      </c>
      <c r="AB35" s="153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324</v>
      </c>
      <c r="S36" s="41" t="s">
        <v>38</v>
      </c>
      <c r="T36" s="44">
        <f>T89</f>
        <v>25</v>
      </c>
      <c r="U36" s="44">
        <f>U89</f>
        <v>77</v>
      </c>
      <c r="V36" s="44">
        <f t="shared" ref="V36:Y36" si="14">V89</f>
        <v>74</v>
      </c>
      <c r="W36" s="44">
        <f t="shared" si="14"/>
        <v>63</v>
      </c>
      <c r="X36" s="44">
        <f t="shared" si="14"/>
        <v>35</v>
      </c>
      <c r="Y36" s="44">
        <f t="shared" si="14"/>
        <v>35</v>
      </c>
      <c r="Z36" s="44">
        <f t="shared" ref="Z36" si="15">Z89</f>
        <v>35</v>
      </c>
      <c r="AA36" s="49">
        <f>SUM(T36:Z36)</f>
        <v>344</v>
      </c>
      <c r="AB36" s="153">
        <v>2024</v>
      </c>
      <c r="AC36" s="111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2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53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4" t="s">
        <v>73</v>
      </c>
      <c r="S39" s="159" t="s">
        <v>0</v>
      </c>
      <c r="T39" s="59">
        <f t="shared" ref="T39:Y39" si="16">T40+T41+T42+T43</f>
        <v>85389.599999999991</v>
      </c>
      <c r="U39" s="59">
        <f t="shared" si="16"/>
        <v>921.2</v>
      </c>
      <c r="V39" s="59">
        <f t="shared" si="16"/>
        <v>350</v>
      </c>
      <c r="W39" s="59">
        <f t="shared" si="16"/>
        <v>7371.0999999999995</v>
      </c>
      <c r="X39" s="59">
        <f t="shared" si="16"/>
        <v>17788.599999999999</v>
      </c>
      <c r="Y39" s="59">
        <f t="shared" si="16"/>
        <v>0</v>
      </c>
      <c r="Z39" s="59">
        <f t="shared" ref="Z39" si="17">Z40+Z41+Z42+Z43</f>
        <v>0</v>
      </c>
      <c r="AA39" s="59">
        <f>SUM(T39:Y39)</f>
        <v>111820.5</v>
      </c>
      <c r="AB39" s="58">
        <v>2022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4"/>
      <c r="S40" s="160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4"/>
      <c r="S41" s="160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4"/>
      <c r="S42" s="160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4"/>
      <c r="S43" s="161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</f>
        <v>17788.599999999999</v>
      </c>
      <c r="Y43" s="1">
        <v>0</v>
      </c>
      <c r="Z43" s="1">
        <v>0</v>
      </c>
      <c r="AA43" s="59">
        <f>T43+U43+V43+W43+X43+Y43</f>
        <v>28146.1</v>
      </c>
      <c r="AB43" s="58">
        <v>2022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</f>
        <v>4.4000000000000004</v>
      </c>
      <c r="Y45" s="3">
        <v>0</v>
      </c>
      <c r="Z45" s="3">
        <v>0</v>
      </c>
      <c r="AA45" s="6">
        <f>SUM(T45:Z45)</f>
        <v>97.5</v>
      </c>
      <c r="AB45" s="73">
        <v>2022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352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0</v>
      </c>
      <c r="Y46" s="44">
        <v>0</v>
      </c>
      <c r="Z46" s="44">
        <v>0</v>
      </c>
      <c r="AA46" s="49">
        <f>SUM(T46:Z46)</f>
        <v>37</v>
      </c>
      <c r="AB46" s="73">
        <v>2021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2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8" t="s">
        <v>78</v>
      </c>
      <c r="S49" s="63" t="s">
        <v>0</v>
      </c>
      <c r="T49" s="1"/>
      <c r="U49" s="1">
        <f t="shared" ref="U49:Z49" si="18">U51</f>
        <v>0</v>
      </c>
      <c r="V49" s="1">
        <f t="shared" si="18"/>
        <v>0</v>
      </c>
      <c r="W49" s="1">
        <f t="shared" si="18"/>
        <v>0</v>
      </c>
      <c r="X49" s="1">
        <f t="shared" si="18"/>
        <v>0</v>
      </c>
      <c r="Y49" s="1">
        <f t="shared" si="18"/>
        <v>0</v>
      </c>
      <c r="Z49" s="1">
        <f t="shared" si="18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9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9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9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19">T57+T59+T64+T61</f>
        <v>5077.4000000000005</v>
      </c>
      <c r="U55" s="59">
        <f t="shared" si="19"/>
        <v>2855.4</v>
      </c>
      <c r="V55" s="59">
        <f t="shared" si="19"/>
        <v>2623.8999999999996</v>
      </c>
      <c r="W55" s="59">
        <f t="shared" si="19"/>
        <v>3067.3</v>
      </c>
      <c r="X55" s="59">
        <f t="shared" si="19"/>
        <v>4426.7000000000007</v>
      </c>
      <c r="Y55" s="59">
        <f t="shared" si="19"/>
        <v>3600</v>
      </c>
      <c r="Z55" s="59">
        <f t="shared" ref="Z55" si="20">Z57+Z59+Z64+Z61</f>
        <v>3600</v>
      </c>
      <c r="AA55" s="59">
        <f>SUM(T55:Z55)</f>
        <v>25250.7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3" t="s">
        <v>38</v>
      </c>
      <c r="T56" s="2">
        <f t="shared" ref="T56:Y56" si="21">T58+T60+T62+T65</f>
        <v>10</v>
      </c>
      <c r="U56" s="2">
        <f t="shared" si="21"/>
        <v>10</v>
      </c>
      <c r="V56" s="2">
        <f t="shared" si="21"/>
        <v>9</v>
      </c>
      <c r="W56" s="2">
        <f t="shared" si="21"/>
        <v>10</v>
      </c>
      <c r="X56" s="2">
        <f t="shared" si="21"/>
        <v>10</v>
      </c>
      <c r="Y56" s="2">
        <f t="shared" si="21"/>
        <v>10</v>
      </c>
      <c r="Z56" s="2">
        <f t="shared" ref="Z56" si="22">Z58+Z60+Z62+Z65</f>
        <v>10</v>
      </c>
      <c r="AA56" s="49">
        <f>Z56</f>
        <v>10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1000-50-74.8-218.4</f>
        <v>656.80000000000007</v>
      </c>
      <c r="Y57" s="1">
        <v>1000</v>
      </c>
      <c r="Z57" s="1">
        <v>1000</v>
      </c>
      <c r="AA57" s="59">
        <f>SUM(T57:Z57)</f>
        <v>5805.4000000000005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</f>
        <v>1464.9</v>
      </c>
      <c r="Y61" s="1">
        <v>800</v>
      </c>
      <c r="Z61" s="1">
        <v>800</v>
      </c>
      <c r="AA61" s="59">
        <f>SUM(T61:Z61)</f>
        <v>5877.5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f t="shared" ref="Y64:Z64" si="23">600+100</f>
        <v>700</v>
      </c>
      <c r="Z64" s="1">
        <f t="shared" si="23"/>
        <v>700</v>
      </c>
      <c r="AA64" s="59">
        <f>SUM(T64:Z64)</f>
        <v>6658.4000000000005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4">T68+T74+T81</f>
        <v>3922.5999999999995</v>
      </c>
      <c r="U66" s="59">
        <f t="shared" si="24"/>
        <v>4901.3</v>
      </c>
      <c r="V66" s="59">
        <f>V68+V74+V81</f>
        <v>5627.7999999999993</v>
      </c>
      <c r="W66" s="59">
        <f t="shared" si="24"/>
        <v>5467.3</v>
      </c>
      <c r="X66" s="59">
        <f t="shared" si="24"/>
        <v>7259.2999999999993</v>
      </c>
      <c r="Y66" s="59">
        <f t="shared" si="24"/>
        <v>3045.3</v>
      </c>
      <c r="Z66" s="59">
        <f t="shared" ref="Z66" si="25">Z68+Z74+Z81</f>
        <v>3045.3</v>
      </c>
      <c r="AA66" s="59">
        <f>SUM(T66:Z66)</f>
        <v>33268.9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3" t="s">
        <v>38</v>
      </c>
      <c r="T67" s="2">
        <f t="shared" ref="T67:Y67" si="26">T73+T80+T85</f>
        <v>20</v>
      </c>
      <c r="U67" s="2">
        <f t="shared" si="26"/>
        <v>20</v>
      </c>
      <c r="V67" s="2">
        <f t="shared" si="26"/>
        <v>20</v>
      </c>
      <c r="W67" s="2">
        <f t="shared" si="26"/>
        <v>20</v>
      </c>
      <c r="X67" s="2">
        <f t="shared" si="26"/>
        <v>20</v>
      </c>
      <c r="Y67" s="2">
        <f t="shared" si="26"/>
        <v>20</v>
      </c>
      <c r="Z67" s="2">
        <f t="shared" ref="Z67" si="27">Z73+Z80+Z85</f>
        <v>20</v>
      </c>
      <c r="AA67" s="49">
        <v>20</v>
      </c>
      <c r="AB67" s="41">
        <v>2024</v>
      </c>
      <c r="AC67" s="33"/>
    </row>
    <row r="68" spans="1:34" s="72" customFormat="1" ht="31.5" customHeight="1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18</v>
      </c>
      <c r="N68" s="54" t="s">
        <v>18</v>
      </c>
      <c r="O68" s="54" t="s">
        <v>18</v>
      </c>
      <c r="P68" s="54" t="s">
        <v>18</v>
      </c>
      <c r="Q68" s="54" t="s">
        <v>18</v>
      </c>
      <c r="R68" s="175" t="s">
        <v>93</v>
      </c>
      <c r="S68" s="159" t="s">
        <v>0</v>
      </c>
      <c r="T68" s="1">
        <f>SUM(T69:T72)</f>
        <v>1324.5</v>
      </c>
      <c r="U68" s="1">
        <f t="shared" ref="U68:Z68" si="28">SUM(U69:U72)</f>
        <v>1333.6999999999998</v>
      </c>
      <c r="V68" s="1">
        <f t="shared" si="28"/>
        <v>855.10000000000014</v>
      </c>
      <c r="W68" s="1">
        <f t="shared" si="28"/>
        <v>718.9</v>
      </c>
      <c r="X68" s="1">
        <f t="shared" si="28"/>
        <v>5363.7</v>
      </c>
      <c r="Y68" s="1">
        <f t="shared" si="28"/>
        <v>619.5</v>
      </c>
      <c r="Z68" s="1">
        <f t="shared" si="28"/>
        <v>619.5</v>
      </c>
      <c r="AA68" s="59">
        <f>SUM(T68:Z68)</f>
        <v>10834.9</v>
      </c>
      <c r="AB68" s="58">
        <v>2024</v>
      </c>
      <c r="AC68" s="119"/>
      <c r="AD68" s="109"/>
      <c r="AE68" s="109"/>
      <c r="AG68" s="110"/>
      <c r="AH68" s="109"/>
    </row>
    <row r="69" spans="1:34" s="72" customFormat="1" x14ac:dyDescent="0.25">
      <c r="A69" s="54" t="s">
        <v>18</v>
      </c>
      <c r="B69" s="54" t="s">
        <v>18</v>
      </c>
      <c r="C69" s="54" t="s">
        <v>22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23</v>
      </c>
      <c r="P69" s="54" t="s">
        <v>19</v>
      </c>
      <c r="Q69" s="54" t="s">
        <v>24</v>
      </c>
      <c r="R69" s="176"/>
      <c r="S69" s="160"/>
      <c r="T69" s="1">
        <v>0</v>
      </c>
      <c r="U69" s="1">
        <v>0</v>
      </c>
      <c r="V69" s="1">
        <v>0</v>
      </c>
      <c r="W69" s="1">
        <v>0</v>
      </c>
      <c r="X69" s="1">
        <v>99.4</v>
      </c>
      <c r="Y69" s="1">
        <v>0</v>
      </c>
      <c r="Z69" s="1">
        <v>0</v>
      </c>
      <c r="AA69" s="59">
        <f t="shared" ref="AA69:AA72" si="29">SUM(T69:Z69)</f>
        <v>99.4</v>
      </c>
      <c r="AB69" s="58">
        <v>2022</v>
      </c>
      <c r="AC69" s="120"/>
    </row>
    <row r="70" spans="1:34" s="72" customFormat="1" x14ac:dyDescent="0.25">
      <c r="A70" s="54" t="s">
        <v>18</v>
      </c>
      <c r="B70" s="54" t="s">
        <v>18</v>
      </c>
      <c r="C70" s="54" t="s">
        <v>22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23</v>
      </c>
      <c r="P70" s="54" t="s">
        <v>19</v>
      </c>
      <c r="Q70" s="54" t="s">
        <v>24</v>
      </c>
      <c r="R70" s="176"/>
      <c r="S70" s="160"/>
      <c r="T70" s="1">
        <v>0</v>
      </c>
      <c r="U70" s="1">
        <v>0</v>
      </c>
      <c r="V70" s="1">
        <v>0</v>
      </c>
      <c r="W70" s="1">
        <v>0</v>
      </c>
      <c r="X70" s="1">
        <v>4179.7</v>
      </c>
      <c r="Y70" s="1">
        <v>0</v>
      </c>
      <c r="Z70" s="1">
        <v>0</v>
      </c>
      <c r="AA70" s="59">
        <f t="shared" si="29"/>
        <v>4179.7</v>
      </c>
      <c r="AB70" s="58">
        <v>2022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22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23</v>
      </c>
      <c r="P71" s="54" t="s">
        <v>19</v>
      </c>
      <c r="Q71" s="54" t="s">
        <v>24</v>
      </c>
      <c r="R71" s="176"/>
      <c r="S71" s="160"/>
      <c r="T71" s="1">
        <v>0</v>
      </c>
      <c r="U71" s="1">
        <v>0</v>
      </c>
      <c r="V71" s="1">
        <v>0</v>
      </c>
      <c r="W71" s="1">
        <v>0</v>
      </c>
      <c r="X71" s="1">
        <v>464.5</v>
      </c>
      <c r="Y71" s="1">
        <v>0</v>
      </c>
      <c r="Z71" s="1">
        <v>0</v>
      </c>
      <c r="AA71" s="59">
        <f t="shared" si="29"/>
        <v>464.5</v>
      </c>
      <c r="AB71" s="58">
        <v>2022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22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43</v>
      </c>
      <c r="N72" s="54" t="s">
        <v>43</v>
      </c>
      <c r="O72" s="54" t="s">
        <v>43</v>
      </c>
      <c r="P72" s="54" t="s">
        <v>43</v>
      </c>
      <c r="Q72" s="54" t="s">
        <v>43</v>
      </c>
      <c r="R72" s="177"/>
      <c r="S72" s="161"/>
      <c r="T72" s="1">
        <f>2867.4-463.9-79-1000</f>
        <v>1324.5</v>
      </c>
      <c r="U72" s="1">
        <f>1867.4-227.9-273.9-31.9</f>
        <v>1333.6999999999998</v>
      </c>
      <c r="V72" s="1">
        <f>1867.4-1012.3</f>
        <v>855.10000000000014</v>
      </c>
      <c r="W72" s="1">
        <f>619.5+120.1-20.7</f>
        <v>718.9</v>
      </c>
      <c r="X72" s="1">
        <v>620.1</v>
      </c>
      <c r="Y72" s="1">
        <v>619.5</v>
      </c>
      <c r="Z72" s="1">
        <v>619.5</v>
      </c>
      <c r="AA72" s="59">
        <f t="shared" si="29"/>
        <v>6091.3</v>
      </c>
      <c r="AB72" s="58">
        <v>2024</v>
      </c>
      <c r="AC72" s="120"/>
    </row>
    <row r="73" spans="1:34" s="51" customFormat="1" ht="47.2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8" t="s">
        <v>94</v>
      </c>
      <c r="S73" s="41" t="s">
        <v>38</v>
      </c>
      <c r="T73" s="2">
        <v>14</v>
      </c>
      <c r="U73" s="2">
        <v>14</v>
      </c>
      <c r="V73" s="2">
        <v>14</v>
      </c>
      <c r="W73" s="2">
        <v>14</v>
      </c>
      <c r="X73" s="44">
        <v>14</v>
      </c>
      <c r="Y73" s="44">
        <v>14</v>
      </c>
      <c r="Z73" s="44">
        <v>14</v>
      </c>
      <c r="AA73" s="49">
        <v>14</v>
      </c>
      <c r="AB73" s="41">
        <v>2024</v>
      </c>
      <c r="AC73" s="33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18</v>
      </c>
      <c r="N74" s="54" t="s">
        <v>18</v>
      </c>
      <c r="O74" s="54" t="s">
        <v>18</v>
      </c>
      <c r="P74" s="54" t="s">
        <v>18</v>
      </c>
      <c r="Q74" s="54" t="s">
        <v>18</v>
      </c>
      <c r="R74" s="174" t="s">
        <v>93</v>
      </c>
      <c r="S74" s="159" t="s">
        <v>0</v>
      </c>
      <c r="T74" s="1">
        <f>SUM(T75:T79)</f>
        <v>501.8</v>
      </c>
      <c r="U74" s="1">
        <f t="shared" ref="U74:Z74" si="30">SUM(U75:U79)</f>
        <v>1483.3</v>
      </c>
      <c r="V74" s="1">
        <f t="shared" si="30"/>
        <v>1744.9</v>
      </c>
      <c r="W74" s="1">
        <f t="shared" si="30"/>
        <v>3236.9</v>
      </c>
      <c r="X74" s="1">
        <f t="shared" si="30"/>
        <v>485.2</v>
      </c>
      <c r="Y74" s="1">
        <f t="shared" si="30"/>
        <v>870.5</v>
      </c>
      <c r="Z74" s="1">
        <f t="shared" si="30"/>
        <v>870.5</v>
      </c>
      <c r="AA74" s="59">
        <f>SUM(T74:Z74)</f>
        <v>9193.0999999999985</v>
      </c>
      <c r="AB74" s="58">
        <v>2024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19</v>
      </c>
      <c r="N75" s="54" t="s">
        <v>18</v>
      </c>
      <c r="O75" s="54" t="s">
        <v>20</v>
      </c>
      <c r="P75" s="54" t="s">
        <v>169</v>
      </c>
      <c r="Q75" s="54" t="s">
        <v>18</v>
      </c>
      <c r="R75" s="174"/>
      <c r="S75" s="160"/>
      <c r="T75" s="1">
        <v>0</v>
      </c>
      <c r="U75" s="1">
        <v>685.2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59">
        <f t="shared" ref="AA75:AA79" si="31">SUM(T75:Z75)</f>
        <v>685.2</v>
      </c>
      <c r="AB75" s="58">
        <v>2019</v>
      </c>
      <c r="AC75" s="120"/>
    </row>
    <row r="76" spans="1:34" s="72" customFormat="1" x14ac:dyDescent="0.25">
      <c r="A76" s="54" t="s">
        <v>18</v>
      </c>
      <c r="B76" s="54" t="s">
        <v>18</v>
      </c>
      <c r="C76" s="54" t="s">
        <v>24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37</v>
      </c>
      <c r="N76" s="54" t="s">
        <v>18</v>
      </c>
      <c r="O76" s="54" t="s">
        <v>20</v>
      </c>
      <c r="P76" s="54" t="s">
        <v>169</v>
      </c>
      <c r="Q76" s="54" t="s">
        <v>18</v>
      </c>
      <c r="R76" s="174"/>
      <c r="S76" s="160"/>
      <c r="T76" s="1">
        <v>0</v>
      </c>
      <c r="U76" s="1">
        <f>685.2-212.4</f>
        <v>472.80000000000007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59">
        <f t="shared" si="31"/>
        <v>472.80000000000007</v>
      </c>
      <c r="AB76" s="58">
        <v>2019</v>
      </c>
      <c r="AC76" s="120"/>
    </row>
    <row r="77" spans="1:34" s="72" customFormat="1" x14ac:dyDescent="0.25">
      <c r="A77" s="54" t="s">
        <v>18</v>
      </c>
      <c r="B77" s="54" t="s">
        <v>18</v>
      </c>
      <c r="C77" s="54" t="s">
        <v>24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19</v>
      </c>
      <c r="R77" s="174"/>
      <c r="S77" s="160"/>
      <c r="T77" s="1">
        <v>0</v>
      </c>
      <c r="U77" s="1">
        <v>0</v>
      </c>
      <c r="V77" s="1">
        <v>1100</v>
      </c>
      <c r="W77" s="1">
        <f>0+2308.5</f>
        <v>2308.5</v>
      </c>
      <c r="X77" s="1">
        <v>0</v>
      </c>
      <c r="Y77" s="1">
        <v>0</v>
      </c>
      <c r="Z77" s="1">
        <v>0</v>
      </c>
      <c r="AA77" s="59">
        <f t="shared" si="31"/>
        <v>3408.5</v>
      </c>
      <c r="AB77" s="58">
        <v>2021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24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19</v>
      </c>
      <c r="R78" s="174"/>
      <c r="S78" s="160"/>
      <c r="T78" s="1">
        <v>0</v>
      </c>
      <c r="U78" s="1">
        <v>0</v>
      </c>
      <c r="V78" s="1">
        <f>149.5-11</f>
        <v>138.5</v>
      </c>
      <c r="W78" s="1">
        <f>0+393.6-49.2</f>
        <v>344.40000000000003</v>
      </c>
      <c r="X78" s="1">
        <v>0</v>
      </c>
      <c r="Y78" s="1">
        <v>0</v>
      </c>
      <c r="Z78" s="1">
        <v>0</v>
      </c>
      <c r="AA78" s="59">
        <f t="shared" si="31"/>
        <v>482.90000000000003</v>
      </c>
      <c r="AB78" s="58">
        <v>2021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24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74"/>
      <c r="S79" s="161"/>
      <c r="T79" s="1">
        <v>501.8</v>
      </c>
      <c r="U79" s="1">
        <v>325.3</v>
      </c>
      <c r="V79" s="1">
        <f>870.5-149.5-214.6</f>
        <v>506.4</v>
      </c>
      <c r="W79" s="1">
        <f>870.5-335.7+49.2</f>
        <v>584</v>
      </c>
      <c r="X79" s="1">
        <f>870.5-363-22.3</f>
        <v>485.2</v>
      </c>
      <c r="Y79" s="1">
        <v>870.5</v>
      </c>
      <c r="Z79" s="1">
        <v>870.5</v>
      </c>
      <c r="AA79" s="59">
        <f t="shared" si="31"/>
        <v>4143.7</v>
      </c>
      <c r="AB79" s="58">
        <v>2024</v>
      </c>
      <c r="AC79" s="120"/>
    </row>
    <row r="80" spans="1:34" s="51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95</v>
      </c>
      <c r="S80" s="41" t="s">
        <v>38</v>
      </c>
      <c r="T80" s="2">
        <v>1</v>
      </c>
      <c r="U80" s="2">
        <v>1</v>
      </c>
      <c r="V80" s="44">
        <v>1</v>
      </c>
      <c r="W80" s="2">
        <v>1</v>
      </c>
      <c r="X80" s="2">
        <v>1</v>
      </c>
      <c r="Y80" s="2">
        <v>1</v>
      </c>
      <c r="Z80" s="2">
        <v>1</v>
      </c>
      <c r="AA80" s="45">
        <v>1</v>
      </c>
      <c r="AB80" s="41">
        <v>2024</v>
      </c>
      <c r="AC80" s="127"/>
      <c r="AD80" s="109"/>
      <c r="AE80" s="50"/>
    </row>
    <row r="81" spans="1:30" s="72" customFormat="1" x14ac:dyDescent="0.25">
      <c r="A81" s="54" t="s">
        <v>18</v>
      </c>
      <c r="B81" s="54" t="s">
        <v>18</v>
      </c>
      <c r="C81" s="54" t="s">
        <v>21</v>
      </c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18</v>
      </c>
      <c r="N81" s="54" t="s">
        <v>18</v>
      </c>
      <c r="O81" s="54" t="s">
        <v>18</v>
      </c>
      <c r="P81" s="54" t="s">
        <v>18</v>
      </c>
      <c r="Q81" s="54" t="s">
        <v>18</v>
      </c>
      <c r="R81" s="175" t="s">
        <v>96</v>
      </c>
      <c r="S81" s="159" t="s">
        <v>0</v>
      </c>
      <c r="T81" s="1">
        <f>T82+T83+T84</f>
        <v>2096.2999999999997</v>
      </c>
      <c r="U81" s="1">
        <f t="shared" ref="U81:Z81" si="32">U82+U83+U84</f>
        <v>2084.3000000000002</v>
      </c>
      <c r="V81" s="1">
        <f t="shared" si="32"/>
        <v>3027.7999999999997</v>
      </c>
      <c r="W81" s="1">
        <f t="shared" si="32"/>
        <v>1511.5</v>
      </c>
      <c r="X81" s="1">
        <f t="shared" si="32"/>
        <v>1410.4</v>
      </c>
      <c r="Y81" s="1">
        <f t="shared" si="32"/>
        <v>1555.3</v>
      </c>
      <c r="Z81" s="1">
        <f t="shared" si="32"/>
        <v>1555.3</v>
      </c>
      <c r="AA81" s="59">
        <f>SUM(T81:Z81)</f>
        <v>13240.899999999998</v>
      </c>
      <c r="AB81" s="58">
        <v>2024</v>
      </c>
      <c r="AC81" s="120"/>
    </row>
    <row r="82" spans="1:30" s="72" customFormat="1" x14ac:dyDescent="0.25">
      <c r="A82" s="54" t="s">
        <v>18</v>
      </c>
      <c r="B82" s="54" t="s">
        <v>18</v>
      </c>
      <c r="C82" s="54" t="s">
        <v>21</v>
      </c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19</v>
      </c>
      <c r="N82" s="54" t="s">
        <v>18</v>
      </c>
      <c r="O82" s="54" t="s">
        <v>23</v>
      </c>
      <c r="P82" s="54" t="s">
        <v>19</v>
      </c>
      <c r="Q82" s="54" t="s">
        <v>20</v>
      </c>
      <c r="R82" s="176"/>
      <c r="S82" s="160"/>
      <c r="T82" s="1">
        <v>0</v>
      </c>
      <c r="U82" s="1">
        <v>0</v>
      </c>
      <c r="V82" s="1">
        <v>1100</v>
      </c>
      <c r="W82" s="1">
        <v>0</v>
      </c>
      <c r="X82" s="1">
        <v>0</v>
      </c>
      <c r="Y82" s="1">
        <v>0</v>
      </c>
      <c r="Z82" s="1">
        <v>0</v>
      </c>
      <c r="AA82" s="59">
        <f t="shared" ref="AA82:AA84" si="33">SUM(T82:Z82)</f>
        <v>1100</v>
      </c>
      <c r="AB82" s="58">
        <v>2020</v>
      </c>
      <c r="AC82" s="120"/>
    </row>
    <row r="83" spans="1:30" s="72" customFormat="1" x14ac:dyDescent="0.25">
      <c r="A83" s="54" t="s">
        <v>18</v>
      </c>
      <c r="B83" s="54" t="s">
        <v>18</v>
      </c>
      <c r="C83" s="54" t="s">
        <v>21</v>
      </c>
      <c r="D83" s="54" t="s">
        <v>18</v>
      </c>
      <c r="E83" s="54" t="s">
        <v>21</v>
      </c>
      <c r="F83" s="54" t="s">
        <v>18</v>
      </c>
      <c r="G83" s="54" t="s">
        <v>22</v>
      </c>
      <c r="H83" s="54" t="s">
        <v>19</v>
      </c>
      <c r="I83" s="54" t="s">
        <v>24</v>
      </c>
      <c r="J83" s="54" t="s">
        <v>18</v>
      </c>
      <c r="K83" s="54" t="s">
        <v>18</v>
      </c>
      <c r="L83" s="54" t="s">
        <v>19</v>
      </c>
      <c r="M83" s="54" t="s">
        <v>37</v>
      </c>
      <c r="N83" s="54" t="s">
        <v>18</v>
      </c>
      <c r="O83" s="54" t="s">
        <v>23</v>
      </c>
      <c r="P83" s="54" t="s">
        <v>19</v>
      </c>
      <c r="Q83" s="54" t="s">
        <v>20</v>
      </c>
      <c r="R83" s="176"/>
      <c r="S83" s="160"/>
      <c r="T83" s="1">
        <v>0</v>
      </c>
      <c r="U83" s="1">
        <v>0</v>
      </c>
      <c r="V83" s="1">
        <f>111-71.5</f>
        <v>39.5</v>
      </c>
      <c r="W83" s="1">
        <v>0</v>
      </c>
      <c r="X83" s="1">
        <v>0</v>
      </c>
      <c r="Y83" s="1">
        <v>0</v>
      </c>
      <c r="Z83" s="1">
        <v>0</v>
      </c>
      <c r="AA83" s="59">
        <f t="shared" si="33"/>
        <v>39.5</v>
      </c>
      <c r="AB83" s="58">
        <v>2020</v>
      </c>
      <c r="AC83" s="120"/>
    </row>
    <row r="84" spans="1:30" s="72" customFormat="1" x14ac:dyDescent="0.25">
      <c r="A84" s="54" t="s">
        <v>18</v>
      </c>
      <c r="B84" s="54" t="s">
        <v>18</v>
      </c>
      <c r="C84" s="54" t="s">
        <v>21</v>
      </c>
      <c r="D84" s="54" t="s">
        <v>18</v>
      </c>
      <c r="E84" s="54" t="s">
        <v>21</v>
      </c>
      <c r="F84" s="54" t="s">
        <v>18</v>
      </c>
      <c r="G84" s="54" t="s">
        <v>22</v>
      </c>
      <c r="H84" s="54" t="s">
        <v>19</v>
      </c>
      <c r="I84" s="54" t="s">
        <v>24</v>
      </c>
      <c r="J84" s="54" t="s">
        <v>18</v>
      </c>
      <c r="K84" s="54" t="s">
        <v>18</v>
      </c>
      <c r="L84" s="54" t="s">
        <v>19</v>
      </c>
      <c r="M84" s="54" t="s">
        <v>43</v>
      </c>
      <c r="N84" s="54" t="s">
        <v>43</v>
      </c>
      <c r="O84" s="54" t="s">
        <v>43</v>
      </c>
      <c r="P84" s="54" t="s">
        <v>43</v>
      </c>
      <c r="Q84" s="54" t="s">
        <v>43</v>
      </c>
      <c r="R84" s="177"/>
      <c r="S84" s="161"/>
      <c r="T84" s="1">
        <f>3665-832.4-710-26.3</f>
        <v>2096.2999999999997</v>
      </c>
      <c r="U84" s="1">
        <f>3624.7-120.3-282.1-1110.8-27.2</f>
        <v>2084.3000000000002</v>
      </c>
      <c r="V84" s="1">
        <f>3624.7-553-111-1072.4</f>
        <v>1888.2999999999997</v>
      </c>
      <c r="W84" s="1">
        <f>1555.3-43.8</f>
        <v>1511.5</v>
      </c>
      <c r="X84" s="1">
        <f>1555.3+120-264.9</f>
        <v>1410.4</v>
      </c>
      <c r="Y84" s="1">
        <v>1555.3</v>
      </c>
      <c r="Z84" s="1">
        <v>1555.3</v>
      </c>
      <c r="AA84" s="59">
        <f t="shared" si="33"/>
        <v>12101.399999999998</v>
      </c>
      <c r="AB84" s="58">
        <v>2024</v>
      </c>
      <c r="AC84" s="120"/>
    </row>
    <row r="85" spans="1:30" s="72" customFormat="1" ht="48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8" t="s">
        <v>97</v>
      </c>
      <c r="S85" s="41" t="s">
        <v>38</v>
      </c>
      <c r="T85" s="44">
        <v>5</v>
      </c>
      <c r="U85" s="44">
        <v>5</v>
      </c>
      <c r="V85" s="44">
        <v>5</v>
      </c>
      <c r="W85" s="44">
        <v>5</v>
      </c>
      <c r="X85" s="44">
        <v>5</v>
      </c>
      <c r="Y85" s="44">
        <v>5</v>
      </c>
      <c r="Z85" s="44">
        <v>5</v>
      </c>
      <c r="AA85" s="49">
        <v>5</v>
      </c>
      <c r="AB85" s="41">
        <v>2024</v>
      </c>
      <c r="AC85" s="123"/>
      <c r="AD85" s="109"/>
    </row>
    <row r="86" spans="1:30" s="72" customFormat="1" ht="31.5" x14ac:dyDescent="0.25">
      <c r="A86" s="54"/>
      <c r="B86" s="54"/>
      <c r="C86" s="54"/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8" t="s">
        <v>98</v>
      </c>
      <c r="S86" s="58" t="s">
        <v>0</v>
      </c>
      <c r="T86" s="59">
        <f t="shared" ref="T86:Y86" si="34">T90+T94+T98+T102+T106</f>
        <v>4566.3999999999996</v>
      </c>
      <c r="U86" s="59">
        <f>U90+U94+U98+U102+U106</f>
        <v>7525.4000000000005</v>
      </c>
      <c r="V86" s="59">
        <f t="shared" si="34"/>
        <v>8494.6</v>
      </c>
      <c r="W86" s="59">
        <f t="shared" si="34"/>
        <v>11214.1</v>
      </c>
      <c r="X86" s="59">
        <f t="shared" si="34"/>
        <v>6337.8</v>
      </c>
      <c r="Y86" s="59">
        <f t="shared" si="34"/>
        <v>6400</v>
      </c>
      <c r="Z86" s="59">
        <f t="shared" ref="Z86" si="35">Z90+Z94+Z98+Z102+Z106</f>
        <v>6400</v>
      </c>
      <c r="AA86" s="59">
        <f>SUM(T86:Z86)</f>
        <v>50938.3</v>
      </c>
      <c r="AB86" s="58">
        <v>2024</v>
      </c>
      <c r="AC86" s="120"/>
    </row>
    <row r="87" spans="1:30" s="72" customFormat="1" ht="47.25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61" t="s">
        <v>99</v>
      </c>
      <c r="S87" s="153" t="s">
        <v>38</v>
      </c>
      <c r="T87" s="44">
        <f t="shared" ref="T87:Y88" si="36">T91+T95+T99+T103</f>
        <v>65</v>
      </c>
      <c r="U87" s="44">
        <f t="shared" si="36"/>
        <v>198</v>
      </c>
      <c r="V87" s="44">
        <f t="shared" si="36"/>
        <v>310</v>
      </c>
      <c r="W87" s="44">
        <f t="shared" si="36"/>
        <v>136</v>
      </c>
      <c r="X87" s="44">
        <f t="shared" si="36"/>
        <v>90</v>
      </c>
      <c r="Y87" s="44">
        <f t="shared" si="36"/>
        <v>90</v>
      </c>
      <c r="Z87" s="44">
        <f t="shared" ref="Z87" si="37">Z91+Z95+Z99+Z103</f>
        <v>90</v>
      </c>
      <c r="AA87" s="49">
        <f>SUM(T87:Z87)</f>
        <v>979</v>
      </c>
      <c r="AB87" s="153">
        <v>2024</v>
      </c>
      <c r="AC87" s="33"/>
    </row>
    <row r="88" spans="1:30" s="72" customFormat="1" ht="31.5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61" t="s">
        <v>100</v>
      </c>
      <c r="S88" s="153" t="s">
        <v>38</v>
      </c>
      <c r="T88" s="44">
        <f t="shared" si="36"/>
        <v>16</v>
      </c>
      <c r="U88" s="44">
        <f t="shared" si="36"/>
        <v>16</v>
      </c>
      <c r="V88" s="44">
        <f t="shared" si="36"/>
        <v>19</v>
      </c>
      <c r="W88" s="44">
        <f t="shared" si="36"/>
        <v>18</v>
      </c>
      <c r="X88" s="44">
        <f t="shared" si="36"/>
        <v>17</v>
      </c>
      <c r="Y88" s="44">
        <f t="shared" si="36"/>
        <v>17</v>
      </c>
      <c r="Z88" s="44">
        <f t="shared" ref="Z88" si="38">Z92+Z96+Z100+Z104</f>
        <v>17</v>
      </c>
      <c r="AA88" s="49">
        <v>17</v>
      </c>
      <c r="AB88" s="153">
        <v>2024</v>
      </c>
      <c r="AC88" s="33"/>
    </row>
    <row r="89" spans="1:30" ht="46.9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314</v>
      </c>
      <c r="S89" s="153" t="s">
        <v>38</v>
      </c>
      <c r="T89" s="44">
        <f>T93+T97+T101+T107+T105</f>
        <v>25</v>
      </c>
      <c r="U89" s="44">
        <f>U93+U97+U101+U107+U105</f>
        <v>77</v>
      </c>
      <c r="V89" s="44">
        <f>V93+V97+V101+V107+V105</f>
        <v>74</v>
      </c>
      <c r="W89" s="44">
        <f t="shared" ref="W89:Y89" si="39">W93+W97+W101+W107+W105</f>
        <v>63</v>
      </c>
      <c r="X89" s="44">
        <f t="shared" si="39"/>
        <v>35</v>
      </c>
      <c r="Y89" s="44">
        <f t="shared" si="39"/>
        <v>35</v>
      </c>
      <c r="Z89" s="44">
        <f t="shared" ref="Z89" si="40">Z93+Z97+Z101+Z107+Z105</f>
        <v>35</v>
      </c>
      <c r="AA89" s="49">
        <f>SUM(T89:Z89)</f>
        <v>344</v>
      </c>
      <c r="AB89" s="153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22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101</v>
      </c>
      <c r="S90" s="55" t="s">
        <v>0</v>
      </c>
      <c r="T90" s="1">
        <f>1780.9-223.4+140-15.2</f>
        <v>1682.3</v>
      </c>
      <c r="U90" s="1">
        <f>1650-73+745.2</f>
        <v>2322.1999999999998</v>
      </c>
      <c r="V90" s="1">
        <v>1650</v>
      </c>
      <c r="W90" s="1">
        <f>1500+855.8+1378.8-389.3</f>
        <v>3345.3</v>
      </c>
      <c r="X90" s="1">
        <f>1500-25.2</f>
        <v>1474.8</v>
      </c>
      <c r="Y90" s="1">
        <v>1500</v>
      </c>
      <c r="Z90" s="1">
        <v>1500</v>
      </c>
      <c r="AA90" s="59">
        <f>SUM(T90:Z90)</f>
        <v>13474.599999999999</v>
      </c>
      <c r="AB90" s="58">
        <v>2024</v>
      </c>
      <c r="AC90" s="120"/>
    </row>
    <row r="91" spans="1:30" ht="46.1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102</v>
      </c>
      <c r="S91" s="153" t="s">
        <v>38</v>
      </c>
      <c r="T91" s="2">
        <v>33</v>
      </c>
      <c r="U91" s="2">
        <v>38</v>
      </c>
      <c r="V91" s="2">
        <v>20</v>
      </c>
      <c r="W91" s="2">
        <v>27</v>
      </c>
      <c r="X91" s="2">
        <v>20</v>
      </c>
      <c r="Y91" s="2">
        <v>20</v>
      </c>
      <c r="Z91" s="2">
        <v>20</v>
      </c>
      <c r="AA91" s="49">
        <f>SUM(T91:Z91)</f>
        <v>178</v>
      </c>
      <c r="AB91" s="41">
        <v>2024</v>
      </c>
      <c r="AC91" s="33"/>
    </row>
    <row r="92" spans="1:30" ht="32.2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103</v>
      </c>
      <c r="S92" s="153" t="s">
        <v>38</v>
      </c>
      <c r="T92" s="2">
        <v>4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45">
        <v>4</v>
      </c>
      <c r="AB92" s="41">
        <v>2024</v>
      </c>
      <c r="AC92" s="33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315</v>
      </c>
      <c r="S93" s="153" t="s">
        <v>38</v>
      </c>
      <c r="T93" s="44">
        <v>0</v>
      </c>
      <c r="U93" s="44">
        <v>29</v>
      </c>
      <c r="V93" s="44">
        <v>25</v>
      </c>
      <c r="W93" s="44">
        <v>17</v>
      </c>
      <c r="X93" s="44">
        <v>13</v>
      </c>
      <c r="Y93" s="44">
        <v>13</v>
      </c>
      <c r="Z93" s="44">
        <v>13</v>
      </c>
      <c r="AA93" s="49">
        <f>SUM(T93:Z93)</f>
        <v>110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24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1051.4-28.4-48.1</f>
        <v>974.90000000000009</v>
      </c>
      <c r="U94" s="1">
        <f>1450-14.6</f>
        <v>1435.4</v>
      </c>
      <c r="V94" s="1">
        <f>1450+1054.3-450.6</f>
        <v>2053.7000000000003</v>
      </c>
      <c r="W94" s="1">
        <f>1500+1001+150</f>
        <v>2651</v>
      </c>
      <c r="X94" s="1">
        <f>1500+722</f>
        <v>2222</v>
      </c>
      <c r="Y94" s="1">
        <v>1500</v>
      </c>
      <c r="Z94" s="1">
        <v>1500</v>
      </c>
      <c r="AA94" s="59">
        <f>SUM(T94:Z94)</f>
        <v>12337</v>
      </c>
      <c r="AB94" s="58">
        <v>2024</v>
      </c>
      <c r="AC94" s="119"/>
      <c r="AD94" s="109"/>
    </row>
    <row r="95" spans="1:30" ht="48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259</v>
      </c>
      <c r="S95" s="153" t="s">
        <v>38</v>
      </c>
      <c r="T95" s="44">
        <v>4</v>
      </c>
      <c r="U95" s="44">
        <v>58</v>
      </c>
      <c r="V95" s="44">
        <v>0</v>
      </c>
      <c r="W95" s="44">
        <v>19</v>
      </c>
      <c r="X95" s="44">
        <v>8</v>
      </c>
      <c r="Y95" s="44">
        <v>8</v>
      </c>
      <c r="Z95" s="44">
        <v>8</v>
      </c>
      <c r="AA95" s="49">
        <f>SUM(T95:Z95)</f>
        <v>105</v>
      </c>
      <c r="AB95" s="41">
        <v>2024</v>
      </c>
      <c r="AC95" s="33"/>
    </row>
    <row r="96" spans="1:30" s="8" customFormat="1" ht="33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260</v>
      </c>
      <c r="S96" s="153" t="s">
        <v>38</v>
      </c>
      <c r="T96" s="44">
        <v>5</v>
      </c>
      <c r="U96" s="44">
        <v>5</v>
      </c>
      <c r="V96" s="44">
        <v>6</v>
      </c>
      <c r="W96" s="44">
        <v>6</v>
      </c>
      <c r="X96" s="44">
        <v>6</v>
      </c>
      <c r="Y96" s="44">
        <v>6</v>
      </c>
      <c r="Z96" s="44">
        <v>6</v>
      </c>
      <c r="AA96" s="49">
        <v>6</v>
      </c>
      <c r="AB96" s="41">
        <v>2024</v>
      </c>
      <c r="AC96" s="123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316</v>
      </c>
      <c r="S97" s="153" t="s">
        <v>38</v>
      </c>
      <c r="T97" s="44">
        <v>0</v>
      </c>
      <c r="U97" s="44">
        <v>16</v>
      </c>
      <c r="V97" s="44">
        <v>16</v>
      </c>
      <c r="W97" s="44">
        <v>30</v>
      </c>
      <c r="X97" s="44">
        <v>11</v>
      </c>
      <c r="Y97" s="44">
        <v>11</v>
      </c>
      <c r="Z97" s="44">
        <v>11</v>
      </c>
      <c r="AA97" s="49">
        <f>SUM(T97:Z97)</f>
        <v>95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21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104</v>
      </c>
      <c r="S98" s="55" t="s">
        <v>0</v>
      </c>
      <c r="T98" s="1">
        <f>1351.9-396.7-310.9-34</f>
        <v>610.30000000000007</v>
      </c>
      <c r="U98" s="1">
        <f>1750-198.6-29.9</f>
        <v>1521.5</v>
      </c>
      <c r="V98" s="1">
        <f>1749.6+553-113</f>
        <v>2189.6</v>
      </c>
      <c r="W98" s="1">
        <f>1500+1265.3</f>
        <v>2765.3</v>
      </c>
      <c r="X98" s="1">
        <f>1500-400-120</f>
        <v>980</v>
      </c>
      <c r="Y98" s="1">
        <v>1500</v>
      </c>
      <c r="Z98" s="1">
        <v>1500</v>
      </c>
      <c r="AA98" s="59">
        <f>SUM(T98:Z98)</f>
        <v>11066.7</v>
      </c>
      <c r="AB98" s="58">
        <v>2024</v>
      </c>
      <c r="AC98" s="119"/>
      <c r="AD98" s="102"/>
    </row>
    <row r="99" spans="1:31" ht="47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261</v>
      </c>
      <c r="S99" s="153" t="s">
        <v>38</v>
      </c>
      <c r="T99" s="2">
        <v>21</v>
      </c>
      <c r="U99" s="2">
        <v>95</v>
      </c>
      <c r="V99" s="2">
        <v>220</v>
      </c>
      <c r="W99" s="2">
        <v>90</v>
      </c>
      <c r="X99" s="2">
        <v>19</v>
      </c>
      <c r="Y99" s="2">
        <v>19</v>
      </c>
      <c r="Z99" s="2">
        <v>19</v>
      </c>
      <c r="AA99" s="49">
        <f>SUM(T99:Z99)</f>
        <v>483</v>
      </c>
      <c r="AB99" s="41">
        <v>2024</v>
      </c>
      <c r="AC99" s="123"/>
      <c r="AD99" s="102"/>
    </row>
    <row r="100" spans="1:31" ht="32.2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262</v>
      </c>
      <c r="S100" s="153" t="s">
        <v>38</v>
      </c>
      <c r="T100" s="2">
        <v>4</v>
      </c>
      <c r="U100" s="2">
        <v>5</v>
      </c>
      <c r="V100" s="2">
        <v>5</v>
      </c>
      <c r="W100" s="2">
        <v>4</v>
      </c>
      <c r="X100" s="2">
        <v>4</v>
      </c>
      <c r="Y100" s="2">
        <v>4</v>
      </c>
      <c r="Z100" s="2">
        <v>4</v>
      </c>
      <c r="AA100" s="45">
        <v>4</v>
      </c>
      <c r="AB100" s="41">
        <v>2024</v>
      </c>
      <c r="AC100" s="127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317</v>
      </c>
      <c r="S101" s="153" t="s">
        <v>38</v>
      </c>
      <c r="T101" s="44">
        <v>0</v>
      </c>
      <c r="U101" s="44">
        <v>16</v>
      </c>
      <c r="V101" s="44">
        <v>15</v>
      </c>
      <c r="W101" s="44">
        <v>12</v>
      </c>
      <c r="X101" s="44">
        <v>4</v>
      </c>
      <c r="Y101" s="44">
        <v>4</v>
      </c>
      <c r="Z101" s="44">
        <v>4</v>
      </c>
      <c r="AA101" s="49">
        <f>SUM(T101:Z101)</f>
        <v>55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18</v>
      </c>
      <c r="C102" s="54" t="s">
        <v>25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4141.3-300-1489-672.7-86.2-669.2</f>
        <v>924.2</v>
      </c>
      <c r="U102" s="1">
        <f>2950-369.3-0.6-50-20-366-142.8</f>
        <v>2001.3</v>
      </c>
      <c r="V102" s="1">
        <f>2950+153.2-3.3-641.8</f>
        <v>2458.0999999999995</v>
      </c>
      <c r="W102" s="1">
        <f>1900-22+817.5-91-182</f>
        <v>2422.5</v>
      </c>
      <c r="X102" s="1">
        <f>1682.2-20.6-0.6</f>
        <v>1661.0000000000002</v>
      </c>
      <c r="Y102" s="1">
        <v>1900</v>
      </c>
      <c r="Z102" s="1">
        <v>1900</v>
      </c>
      <c r="AA102" s="59">
        <f>SUM(T102:Z102)</f>
        <v>13267.1</v>
      </c>
      <c r="AB102" s="58">
        <v>2024</v>
      </c>
      <c r="AC102" s="120"/>
    </row>
    <row r="103" spans="1:31" ht="46.9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 t="s">
        <v>263</v>
      </c>
      <c r="S103" s="153" t="s">
        <v>38</v>
      </c>
      <c r="T103" s="44">
        <v>7</v>
      </c>
      <c r="U103" s="44">
        <v>7</v>
      </c>
      <c r="V103" s="44">
        <v>70</v>
      </c>
      <c r="W103" s="44">
        <v>0</v>
      </c>
      <c r="X103" s="44">
        <v>43</v>
      </c>
      <c r="Y103" s="44">
        <v>43</v>
      </c>
      <c r="Z103" s="44">
        <v>43</v>
      </c>
      <c r="AA103" s="49">
        <f>SUM(T103:Z103)</f>
        <v>213</v>
      </c>
      <c r="AB103" s="41">
        <v>2024</v>
      </c>
      <c r="AC103" s="33"/>
    </row>
    <row r="104" spans="1:31" ht="32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264</v>
      </c>
      <c r="S104" s="41" t="s">
        <v>38</v>
      </c>
      <c r="T104" s="44">
        <v>3</v>
      </c>
      <c r="U104" s="44">
        <v>2</v>
      </c>
      <c r="V104" s="44">
        <v>4</v>
      </c>
      <c r="W104" s="44">
        <v>4</v>
      </c>
      <c r="X104" s="44">
        <v>3</v>
      </c>
      <c r="Y104" s="44">
        <v>3</v>
      </c>
      <c r="Z104" s="44">
        <v>3</v>
      </c>
      <c r="AA104" s="49">
        <v>3</v>
      </c>
      <c r="AB104" s="41">
        <v>2024</v>
      </c>
      <c r="AC104" s="123"/>
      <c r="AD104" s="102"/>
    </row>
    <row r="105" spans="1:31" ht="63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318</v>
      </c>
      <c r="S105" s="153" t="s">
        <v>38</v>
      </c>
      <c r="T105" s="44">
        <v>0</v>
      </c>
      <c r="U105" s="44">
        <v>15</v>
      </c>
      <c r="V105" s="44">
        <v>2</v>
      </c>
      <c r="W105" s="44">
        <v>2</v>
      </c>
      <c r="X105" s="44">
        <v>7</v>
      </c>
      <c r="Y105" s="44">
        <v>7</v>
      </c>
      <c r="Z105" s="44">
        <v>7</v>
      </c>
      <c r="AA105" s="49">
        <f>SUM(T105:Z105)</f>
        <v>40</v>
      </c>
      <c r="AB105" s="41">
        <v>2024</v>
      </c>
      <c r="AC105" s="123"/>
      <c r="AD105" s="102"/>
    </row>
    <row r="106" spans="1:31" ht="31.5" x14ac:dyDescent="0.25">
      <c r="A106" s="54" t="s">
        <v>18</v>
      </c>
      <c r="B106" s="54" t="s">
        <v>19</v>
      </c>
      <c r="C106" s="54" t="s">
        <v>24</v>
      </c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9" t="s">
        <v>101</v>
      </c>
      <c r="S106" s="55" t="s">
        <v>0</v>
      </c>
      <c r="T106" s="1">
        <f>236-236+500-125.3</f>
        <v>374.7</v>
      </c>
      <c r="U106" s="1">
        <f>0+229+48-32</f>
        <v>245</v>
      </c>
      <c r="V106" s="1">
        <f>0+150-6.8</f>
        <v>143.19999999999999</v>
      </c>
      <c r="W106" s="1">
        <f>0+30</f>
        <v>30</v>
      </c>
      <c r="X106" s="1">
        <v>0</v>
      </c>
      <c r="Y106" s="1">
        <v>0</v>
      </c>
      <c r="Z106" s="1">
        <v>0</v>
      </c>
      <c r="AA106" s="59">
        <f>SUM(T106:Z106)</f>
        <v>792.90000000000009</v>
      </c>
      <c r="AB106" s="58">
        <v>2021</v>
      </c>
      <c r="AC106" s="123"/>
      <c r="AD106" s="102"/>
    </row>
    <row r="107" spans="1:31" ht="48.6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1" t="s">
        <v>321</v>
      </c>
      <c r="S107" s="153" t="s">
        <v>38</v>
      </c>
      <c r="T107" s="44">
        <v>25</v>
      </c>
      <c r="U107" s="2">
        <v>1</v>
      </c>
      <c r="V107" s="2">
        <v>16</v>
      </c>
      <c r="W107" s="2">
        <v>2</v>
      </c>
      <c r="X107" s="2">
        <v>0</v>
      </c>
      <c r="Y107" s="2">
        <v>0</v>
      </c>
      <c r="Z107" s="2">
        <v>0</v>
      </c>
      <c r="AA107" s="45">
        <f>SUM(T107:Z107)</f>
        <v>44</v>
      </c>
      <c r="AB107" s="41">
        <v>2021</v>
      </c>
      <c r="AC107" s="123"/>
      <c r="AD107" s="102"/>
    </row>
    <row r="108" spans="1:31" x14ac:dyDescent="0.25">
      <c r="A108" s="54" t="s">
        <v>18</v>
      </c>
      <c r="B108" s="54" t="s">
        <v>19</v>
      </c>
      <c r="C108" s="54" t="s">
        <v>20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18</v>
      </c>
      <c r="N108" s="54" t="s">
        <v>18</v>
      </c>
      <c r="O108" s="54" t="s">
        <v>18</v>
      </c>
      <c r="P108" s="54" t="s">
        <v>18</v>
      </c>
      <c r="Q108" s="54" t="s">
        <v>18</v>
      </c>
      <c r="R108" s="175" t="s">
        <v>105</v>
      </c>
      <c r="S108" s="165" t="s">
        <v>0</v>
      </c>
      <c r="T108" s="59">
        <f>SUM(T109:T110)</f>
        <v>124849.7</v>
      </c>
      <c r="U108" s="59">
        <f t="shared" ref="U108:Z108" si="41">SUM(U109:U110)</f>
        <v>257371.5</v>
      </c>
      <c r="V108" s="59">
        <f t="shared" si="41"/>
        <v>178030.5</v>
      </c>
      <c r="W108" s="59">
        <f t="shared" si="41"/>
        <v>153398.5</v>
      </c>
      <c r="X108" s="59">
        <f>SUM(X109:X110)</f>
        <v>185629.7</v>
      </c>
      <c r="Y108" s="59">
        <f t="shared" si="41"/>
        <v>130528.6</v>
      </c>
      <c r="Z108" s="59">
        <f t="shared" si="41"/>
        <v>130528.6</v>
      </c>
      <c r="AA108" s="59">
        <f>SUM(T108:Z108)</f>
        <v>1160337.0999999999</v>
      </c>
      <c r="AB108" s="58">
        <v>2024</v>
      </c>
      <c r="AC108" s="119"/>
      <c r="AD108" s="102"/>
    </row>
    <row r="109" spans="1:31" x14ac:dyDescent="0.25">
      <c r="A109" s="54" t="s">
        <v>18</v>
      </c>
      <c r="B109" s="54" t="s">
        <v>19</v>
      </c>
      <c r="C109" s="54" t="s">
        <v>20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18</v>
      </c>
      <c r="N109" s="54" t="s">
        <v>19</v>
      </c>
      <c r="O109" s="54" t="s">
        <v>18</v>
      </c>
      <c r="P109" s="54" t="s">
        <v>18</v>
      </c>
      <c r="Q109" s="54" t="s">
        <v>18</v>
      </c>
      <c r="R109" s="176"/>
      <c r="S109" s="166"/>
      <c r="T109" s="1">
        <v>0</v>
      </c>
      <c r="U109" s="1">
        <v>0</v>
      </c>
      <c r="V109" s="1">
        <v>0</v>
      </c>
      <c r="W109" s="1">
        <v>0</v>
      </c>
      <c r="X109" s="1">
        <v>4417.1000000000004</v>
      </c>
      <c r="Y109" s="1">
        <v>4417.1000000000004</v>
      </c>
      <c r="Z109" s="1">
        <v>4417.1000000000004</v>
      </c>
      <c r="AA109" s="59">
        <f t="shared" ref="AA109:AA110" si="42">SUM(T109:Z109)</f>
        <v>13251.300000000001</v>
      </c>
      <c r="AB109" s="58">
        <v>2024</v>
      </c>
      <c r="AC109" s="119"/>
      <c r="AD109" s="102"/>
    </row>
    <row r="110" spans="1:31" x14ac:dyDescent="0.25">
      <c r="A110" s="54" t="s">
        <v>18</v>
      </c>
      <c r="B110" s="54" t="s">
        <v>19</v>
      </c>
      <c r="C110" s="54" t="s">
        <v>20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177"/>
      <c r="S110" s="167"/>
      <c r="T110" s="1">
        <f>99204.4+25748.3-45-48-10</f>
        <v>124849.7</v>
      </c>
      <c r="U110" s="1">
        <f>98382.7+162290.6-3301.8</f>
        <v>257371.5</v>
      </c>
      <c r="V110" s="1">
        <f>180545.5-150-150-2115-100</f>
        <v>178030.5</v>
      </c>
      <c r="W110" s="1">
        <f>154888-50-70-100-600+13707.9-6323.8-4495.6-1358-2200</f>
        <v>153398.5</v>
      </c>
      <c r="X110" s="1">
        <v>181212.6</v>
      </c>
      <c r="Y110" s="1">
        <v>126111.5</v>
      </c>
      <c r="Z110" s="1">
        <v>126111.5</v>
      </c>
      <c r="AA110" s="59">
        <f t="shared" si="42"/>
        <v>1147085.7999999998</v>
      </c>
      <c r="AB110" s="58">
        <v>2024</v>
      </c>
      <c r="AC110" s="119"/>
      <c r="AD110" s="102"/>
    </row>
    <row r="111" spans="1:31" ht="31.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106</v>
      </c>
      <c r="S111" s="153" t="s">
        <v>50</v>
      </c>
      <c r="T111" s="2">
        <v>21452</v>
      </c>
      <c r="U111" s="2">
        <v>21713</v>
      </c>
      <c r="V111" s="2">
        <v>21820</v>
      </c>
      <c r="W111" s="2">
        <v>22526</v>
      </c>
      <c r="X111" s="2">
        <v>22904</v>
      </c>
      <c r="Y111" s="2">
        <v>22904</v>
      </c>
      <c r="Z111" s="2">
        <v>22904</v>
      </c>
      <c r="AA111" s="49">
        <f>Y111</f>
        <v>22904</v>
      </c>
      <c r="AB111" s="41">
        <v>2024</v>
      </c>
      <c r="AC111" s="123"/>
      <c r="AD111" s="109"/>
      <c r="AE111" s="109"/>
    </row>
    <row r="112" spans="1:31" ht="46.9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107</v>
      </c>
      <c r="S112" s="153" t="s">
        <v>9</v>
      </c>
      <c r="T112" s="3">
        <v>95</v>
      </c>
      <c r="U112" s="3">
        <v>95</v>
      </c>
      <c r="V112" s="3">
        <v>95</v>
      </c>
      <c r="W112" s="3">
        <v>95</v>
      </c>
      <c r="X112" s="3">
        <v>95</v>
      </c>
      <c r="Y112" s="3">
        <v>95</v>
      </c>
      <c r="Z112" s="3">
        <v>95</v>
      </c>
      <c r="AA112" s="5">
        <v>95</v>
      </c>
      <c r="AB112" s="41">
        <v>2024</v>
      </c>
      <c r="AC112" s="33"/>
    </row>
    <row r="113" spans="1:32" ht="31.5" x14ac:dyDescent="0.25">
      <c r="A113" s="54"/>
      <c r="B113" s="54"/>
      <c r="C113" s="54"/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8" t="s">
        <v>108</v>
      </c>
      <c r="S113" s="58" t="s">
        <v>0</v>
      </c>
      <c r="T113" s="59">
        <f t="shared" ref="T113:Y114" si="43">T115+T117+T119+T121</f>
        <v>1880.0999999999997</v>
      </c>
      <c r="U113" s="59">
        <f t="shared" si="43"/>
        <v>1976</v>
      </c>
      <c r="V113" s="59">
        <f t="shared" si="43"/>
        <v>1715.8</v>
      </c>
      <c r="W113" s="59">
        <f t="shared" si="43"/>
        <v>2672.1</v>
      </c>
      <c r="X113" s="59">
        <f t="shared" si="43"/>
        <v>2597.6999999999998</v>
      </c>
      <c r="Y113" s="59">
        <f t="shared" si="43"/>
        <v>2697.7</v>
      </c>
      <c r="Z113" s="59">
        <f t="shared" ref="Z113" si="44">Z115+Z117+Z119+Z121</f>
        <v>2697.7</v>
      </c>
      <c r="AA113" s="59">
        <f t="shared" ref="AA113:AA122" si="45">SUM(T113:Z113)</f>
        <v>16237.100000000002</v>
      </c>
      <c r="AB113" s="58">
        <v>2024</v>
      </c>
      <c r="AC113" s="120"/>
    </row>
    <row r="114" spans="1:32" ht="31.1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109</v>
      </c>
      <c r="S114" s="41" t="s">
        <v>38</v>
      </c>
      <c r="T114" s="44">
        <f t="shared" si="43"/>
        <v>61</v>
      </c>
      <c r="U114" s="44">
        <f t="shared" si="43"/>
        <v>147</v>
      </c>
      <c r="V114" s="44">
        <f t="shared" si="43"/>
        <v>255</v>
      </c>
      <c r="W114" s="44">
        <f t="shared" si="43"/>
        <v>311</v>
      </c>
      <c r="X114" s="44">
        <f t="shared" si="43"/>
        <v>392</v>
      </c>
      <c r="Y114" s="44">
        <f t="shared" si="43"/>
        <v>392</v>
      </c>
      <c r="Z114" s="44">
        <f t="shared" ref="Z114" si="46">Z116+Z118+Z120+Z122</f>
        <v>392</v>
      </c>
      <c r="AA114" s="49">
        <f t="shared" si="45"/>
        <v>1950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22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110</v>
      </c>
      <c r="S115" s="55" t="s">
        <v>0</v>
      </c>
      <c r="T115" s="1">
        <f>92-9.2+105.5-26.8</f>
        <v>161.5</v>
      </c>
      <c r="U115" s="1">
        <f>1092-122.4</f>
        <v>969.6</v>
      </c>
      <c r="V115" s="1">
        <f>1092-692</f>
        <v>400</v>
      </c>
      <c r="W115" s="1">
        <v>1092</v>
      </c>
      <c r="X115" s="1">
        <v>1092</v>
      </c>
      <c r="Y115" s="1">
        <v>1092</v>
      </c>
      <c r="Z115" s="1">
        <v>1092</v>
      </c>
      <c r="AA115" s="59">
        <f t="shared" si="45"/>
        <v>5899.1</v>
      </c>
      <c r="AB115" s="58">
        <v>2024</v>
      </c>
      <c r="AC115" s="120"/>
    </row>
    <row r="116" spans="1:32" ht="47.2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74" t="s">
        <v>111</v>
      </c>
      <c r="S116" s="153" t="s">
        <v>38</v>
      </c>
      <c r="T116" s="44">
        <f>4+4</f>
        <v>8</v>
      </c>
      <c r="U116" s="44">
        <f>29+21</f>
        <v>50</v>
      </c>
      <c r="V116" s="44">
        <v>23</v>
      </c>
      <c r="W116" s="44">
        <v>54</v>
      </c>
      <c r="X116" s="44">
        <v>161</v>
      </c>
      <c r="Y116" s="44">
        <v>161</v>
      </c>
      <c r="Z116" s="44">
        <v>161</v>
      </c>
      <c r="AA116" s="49">
        <f t="shared" si="45"/>
        <v>618</v>
      </c>
      <c r="AB116" s="41">
        <v>2024</v>
      </c>
      <c r="AC116" s="127"/>
      <c r="AD116" s="109"/>
    </row>
    <row r="117" spans="1:32" ht="31.5" x14ac:dyDescent="0.25">
      <c r="A117" s="54" t="s">
        <v>18</v>
      </c>
      <c r="B117" s="54" t="s">
        <v>18</v>
      </c>
      <c r="C117" s="54" t="s">
        <v>24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69" t="s">
        <v>110</v>
      </c>
      <c r="S117" s="55" t="s">
        <v>0</v>
      </c>
      <c r="T117" s="1">
        <f>1135.8-126-115.2-44.7</f>
        <v>849.89999999999986</v>
      </c>
      <c r="U117" s="1">
        <f>630.5-140-173</f>
        <v>317.5</v>
      </c>
      <c r="V117" s="1">
        <f>630.5-192.2</f>
        <v>438.3</v>
      </c>
      <c r="W117" s="1">
        <f>630.5+9.9</f>
        <v>640.4</v>
      </c>
      <c r="X117" s="1">
        <v>630.5</v>
      </c>
      <c r="Y117" s="1">
        <v>630.5</v>
      </c>
      <c r="Z117" s="1">
        <v>630.5</v>
      </c>
      <c r="AA117" s="59">
        <f t="shared" si="45"/>
        <v>4137.6000000000004</v>
      </c>
      <c r="AB117" s="58">
        <v>2024</v>
      </c>
      <c r="AC117" s="122"/>
      <c r="AD117" s="102"/>
    </row>
    <row r="118" spans="1:32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112</v>
      </c>
      <c r="S118" s="153" t="s">
        <v>38</v>
      </c>
      <c r="T118" s="44">
        <v>26</v>
      </c>
      <c r="U118" s="44">
        <v>62</v>
      </c>
      <c r="V118" s="44">
        <v>56</v>
      </c>
      <c r="W118" s="44">
        <v>76</v>
      </c>
      <c r="X118" s="44">
        <v>20</v>
      </c>
      <c r="Y118" s="44">
        <v>20</v>
      </c>
      <c r="Z118" s="44">
        <v>20</v>
      </c>
      <c r="AA118" s="49">
        <f t="shared" si="45"/>
        <v>280</v>
      </c>
      <c r="AB118" s="41">
        <v>2024</v>
      </c>
      <c r="AC118" s="123"/>
      <c r="AD118" s="102"/>
    </row>
    <row r="119" spans="1:32" ht="31.5" x14ac:dyDescent="0.25">
      <c r="A119" s="54" t="s">
        <v>18</v>
      </c>
      <c r="B119" s="54" t="s">
        <v>18</v>
      </c>
      <c r="C119" s="54" t="s">
        <v>21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69" t="s">
        <v>110</v>
      </c>
      <c r="S119" s="55" t="s">
        <v>0</v>
      </c>
      <c r="T119" s="1">
        <f>429.2+396.7-107.5</f>
        <v>718.4</v>
      </c>
      <c r="U119" s="1">
        <f>475.2-36.3</f>
        <v>438.9</v>
      </c>
      <c r="V119" s="1">
        <v>475.7</v>
      </c>
      <c r="W119" s="1">
        <f>475.2-25.2</f>
        <v>450</v>
      </c>
      <c r="X119" s="1">
        <v>475.2</v>
      </c>
      <c r="Y119" s="1">
        <v>475.2</v>
      </c>
      <c r="Z119" s="1">
        <v>475.2</v>
      </c>
      <c r="AA119" s="59">
        <f t="shared" si="45"/>
        <v>3508.5999999999995</v>
      </c>
      <c r="AB119" s="58">
        <v>2024</v>
      </c>
      <c r="AC119" s="120"/>
    </row>
    <row r="120" spans="1:32" ht="47.2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 t="s">
        <v>113</v>
      </c>
      <c r="S120" s="41" t="s">
        <v>38</v>
      </c>
      <c r="T120" s="44">
        <v>17</v>
      </c>
      <c r="U120" s="44">
        <v>17</v>
      </c>
      <c r="V120" s="44">
        <v>122</v>
      </c>
      <c r="W120" s="44">
        <v>132</v>
      </c>
      <c r="X120" s="44">
        <v>132</v>
      </c>
      <c r="Y120" s="44">
        <v>132</v>
      </c>
      <c r="Z120" s="44">
        <v>132</v>
      </c>
      <c r="AA120" s="49">
        <f t="shared" si="45"/>
        <v>684</v>
      </c>
      <c r="AB120" s="41">
        <v>2024</v>
      </c>
      <c r="AC120" s="123"/>
      <c r="AD120" s="102"/>
    </row>
    <row r="121" spans="1:32" ht="31.5" x14ac:dyDescent="0.25">
      <c r="A121" s="54" t="s">
        <v>18</v>
      </c>
      <c r="B121" s="54" t="s">
        <v>18</v>
      </c>
      <c r="C121" s="54" t="s">
        <v>25</v>
      </c>
      <c r="D121" s="54" t="s">
        <v>18</v>
      </c>
      <c r="E121" s="54" t="s">
        <v>21</v>
      </c>
      <c r="F121" s="54" t="s">
        <v>18</v>
      </c>
      <c r="G121" s="54" t="s">
        <v>22</v>
      </c>
      <c r="H121" s="54" t="s">
        <v>19</v>
      </c>
      <c r="I121" s="54" t="s">
        <v>24</v>
      </c>
      <c r="J121" s="54" t="s">
        <v>18</v>
      </c>
      <c r="K121" s="54" t="s">
        <v>18</v>
      </c>
      <c r="L121" s="54" t="s">
        <v>19</v>
      </c>
      <c r="M121" s="54" t="s">
        <v>43</v>
      </c>
      <c r="N121" s="54" t="s">
        <v>43</v>
      </c>
      <c r="O121" s="54" t="s">
        <v>43</v>
      </c>
      <c r="P121" s="54" t="s">
        <v>43</v>
      </c>
      <c r="Q121" s="54" t="s">
        <v>43</v>
      </c>
      <c r="R121" s="69" t="s">
        <v>114</v>
      </c>
      <c r="S121" s="55" t="s">
        <v>0</v>
      </c>
      <c r="T121" s="1">
        <f>153.3-3</f>
        <v>150.30000000000001</v>
      </c>
      <c r="U121" s="1">
        <f>200+50</f>
        <v>250</v>
      </c>
      <c r="V121" s="1">
        <f>500-101.5+3.3</f>
        <v>401.8</v>
      </c>
      <c r="W121" s="1">
        <f>500-10.3</f>
        <v>489.7</v>
      </c>
      <c r="X121" s="1">
        <v>400</v>
      </c>
      <c r="Y121" s="1">
        <v>500</v>
      </c>
      <c r="Z121" s="1">
        <v>500</v>
      </c>
      <c r="AA121" s="59">
        <f t="shared" si="45"/>
        <v>2691.8</v>
      </c>
      <c r="AB121" s="58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115</v>
      </c>
      <c r="S122" s="41" t="s">
        <v>38</v>
      </c>
      <c r="T122" s="44">
        <v>10</v>
      </c>
      <c r="U122" s="44">
        <v>18</v>
      </c>
      <c r="V122" s="44">
        <v>54</v>
      </c>
      <c r="W122" s="44">
        <v>49</v>
      </c>
      <c r="X122" s="44">
        <v>79</v>
      </c>
      <c r="Y122" s="44">
        <v>79</v>
      </c>
      <c r="Z122" s="44">
        <v>79</v>
      </c>
      <c r="AA122" s="49">
        <f t="shared" si="45"/>
        <v>368</v>
      </c>
      <c r="AB122" s="41">
        <v>2024</v>
      </c>
      <c r="AC122" s="33"/>
    </row>
    <row r="123" spans="1:32" ht="31.5" x14ac:dyDescent="0.25">
      <c r="A123" s="54" t="s">
        <v>18</v>
      </c>
      <c r="B123" s="54" t="s">
        <v>19</v>
      </c>
      <c r="C123" s="54" t="s">
        <v>20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1" t="s">
        <v>116</v>
      </c>
      <c r="S123" s="94" t="s">
        <v>0</v>
      </c>
      <c r="T123" s="59">
        <f>2300+20572-19997.4-439+45+48+203.1-4</f>
        <v>2727.6999999999985</v>
      </c>
      <c r="U123" s="59">
        <f>7300+715</f>
        <v>8015</v>
      </c>
      <c r="V123" s="59">
        <f>3500+2115-846.5</f>
        <v>4768.5</v>
      </c>
      <c r="W123" s="59">
        <f>5200-9.4-104</f>
        <v>5086.6000000000004</v>
      </c>
      <c r="X123" s="59">
        <f>4333.5+524.5</f>
        <v>4858</v>
      </c>
      <c r="Y123" s="59">
        <v>5200</v>
      </c>
      <c r="Z123" s="59">
        <v>5200</v>
      </c>
      <c r="AA123" s="59">
        <f>SUM(T123:Z123)</f>
        <v>35855.800000000003</v>
      </c>
      <c r="AB123" s="58">
        <v>2024</v>
      </c>
      <c r="AC123" s="123"/>
      <c r="AD123" s="109"/>
      <c r="AE123" s="109"/>
      <c r="AF123" s="109"/>
    </row>
    <row r="124" spans="1:32" s="72" customFormat="1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 t="s">
        <v>117</v>
      </c>
      <c r="S124" s="41" t="s">
        <v>50</v>
      </c>
      <c r="T124" s="2">
        <v>8</v>
      </c>
      <c r="U124" s="2">
        <v>10</v>
      </c>
      <c r="V124" s="2">
        <v>10</v>
      </c>
      <c r="W124" s="2">
        <v>10</v>
      </c>
      <c r="X124" s="2">
        <v>10</v>
      </c>
      <c r="Y124" s="2">
        <v>10</v>
      </c>
      <c r="Z124" s="2">
        <v>10</v>
      </c>
      <c r="AA124" s="45">
        <v>10</v>
      </c>
      <c r="AB124" s="41">
        <v>2024</v>
      </c>
      <c r="AC124" s="33"/>
      <c r="AD124" s="102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118</v>
      </c>
      <c r="S125" s="153" t="s">
        <v>50</v>
      </c>
      <c r="T125" s="2">
        <v>0</v>
      </c>
      <c r="U125" s="2">
        <v>649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45">
        <f>SUM(T125:Z125)</f>
        <v>649</v>
      </c>
      <c r="AB125" s="153">
        <v>2019</v>
      </c>
      <c r="AC125" s="33"/>
      <c r="AD125" s="102"/>
    </row>
    <row r="126" spans="1:32" s="72" customFormat="1" ht="31.5" x14ac:dyDescent="0.25">
      <c r="A126" s="54"/>
      <c r="B126" s="54"/>
      <c r="C126" s="54"/>
      <c r="D126" s="54" t="s">
        <v>18</v>
      </c>
      <c r="E126" s="54" t="s">
        <v>21</v>
      </c>
      <c r="F126" s="54" t="s">
        <v>18</v>
      </c>
      <c r="G126" s="54" t="s">
        <v>22</v>
      </c>
      <c r="H126" s="54" t="s">
        <v>19</v>
      </c>
      <c r="I126" s="54" t="s">
        <v>24</v>
      </c>
      <c r="J126" s="54" t="s">
        <v>18</v>
      </c>
      <c r="K126" s="54" t="s">
        <v>18</v>
      </c>
      <c r="L126" s="54" t="s">
        <v>19</v>
      </c>
      <c r="M126" s="54" t="s">
        <v>43</v>
      </c>
      <c r="N126" s="54" t="s">
        <v>43</v>
      </c>
      <c r="O126" s="54" t="s">
        <v>43</v>
      </c>
      <c r="P126" s="54" t="s">
        <v>43</v>
      </c>
      <c r="Q126" s="54" t="s">
        <v>43</v>
      </c>
      <c r="R126" s="152" t="s">
        <v>119</v>
      </c>
      <c r="S126" s="58" t="s">
        <v>0</v>
      </c>
      <c r="T126" s="59">
        <f>102300-550-5000-1550.7+43.1+12-12</f>
        <v>95242.400000000009</v>
      </c>
      <c r="U126" s="59">
        <f>83000-4000+50</f>
        <v>79050</v>
      </c>
      <c r="V126" s="59">
        <f>89143.1+50</f>
        <v>89193.1</v>
      </c>
      <c r="W126" s="59">
        <f>W135+W129+W131</f>
        <v>90193.1</v>
      </c>
      <c r="X126" s="59">
        <f>X135+X129+X131</f>
        <v>96455.1</v>
      </c>
      <c r="Y126" s="59">
        <f>Y135+Y129+Y131</f>
        <v>104388</v>
      </c>
      <c r="Z126" s="59">
        <f>Z135+Z129+Z131</f>
        <v>104388</v>
      </c>
      <c r="AA126" s="59">
        <f>SUM(T126:Z126)</f>
        <v>658909.69999999995</v>
      </c>
      <c r="AB126" s="58">
        <v>2024</v>
      </c>
      <c r="AC126" s="33"/>
    </row>
    <row r="127" spans="1:32" s="72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370</v>
      </c>
      <c r="S127" s="41" t="s">
        <v>52</v>
      </c>
      <c r="T127" s="4">
        <v>3.7</v>
      </c>
      <c r="U127" s="4">
        <v>3.8</v>
      </c>
      <c r="V127" s="4">
        <v>3.7</v>
      </c>
      <c r="W127" s="4">
        <f>W136+W132</f>
        <v>3.7</v>
      </c>
      <c r="X127" s="4">
        <f>X136+X132</f>
        <v>3.9000000000000004</v>
      </c>
      <c r="Y127" s="4">
        <f>Y136+Y132</f>
        <v>3.9000000000000004</v>
      </c>
      <c r="Z127" s="4">
        <f>Z136+Z132</f>
        <v>3.9000000000000004</v>
      </c>
      <c r="AA127" s="6">
        <v>3.7</v>
      </c>
      <c r="AB127" s="41">
        <v>2024</v>
      </c>
      <c r="AC127" s="33"/>
    </row>
    <row r="128" spans="1:32" s="51" customFormat="1" ht="31.1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378</v>
      </c>
      <c r="S128" s="41" t="s">
        <v>52</v>
      </c>
      <c r="T128" s="3">
        <v>2557</v>
      </c>
      <c r="U128" s="3">
        <v>2220.9</v>
      </c>
      <c r="V128" s="3">
        <v>2165.9</v>
      </c>
      <c r="W128" s="3">
        <f>W141+W130+W134</f>
        <v>2189.1</v>
      </c>
      <c r="X128" s="3">
        <f>X141+X130+X134</f>
        <v>2184.4999999999995</v>
      </c>
      <c r="Y128" s="3">
        <f>Y141+Y130+Y134</f>
        <v>2235.7999999999997</v>
      </c>
      <c r="Z128" s="3">
        <f>Z141+Z130+Z134</f>
        <v>2235.7999999999997</v>
      </c>
      <c r="AA128" s="6">
        <f>Z128</f>
        <v>2235.7999999999997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18</v>
      </c>
      <c r="C129" s="54" t="s">
        <v>24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2" t="s">
        <v>119</v>
      </c>
      <c r="S129" s="55" t="s">
        <v>0</v>
      </c>
      <c r="T129" s="1">
        <v>0</v>
      </c>
      <c r="U129" s="1">
        <v>0</v>
      </c>
      <c r="V129" s="1">
        <v>0</v>
      </c>
      <c r="W129" s="1">
        <v>0</v>
      </c>
      <c r="X129" s="1">
        <f>2266.5-1370.3</f>
        <v>896.2</v>
      </c>
      <c r="Y129" s="1">
        <v>2266.5</v>
      </c>
      <c r="Z129" s="1">
        <v>2266.5</v>
      </c>
      <c r="AA129" s="59">
        <f>SUM(T129:Z129)</f>
        <v>5429.2</v>
      </c>
      <c r="AB129" s="58">
        <v>2024</v>
      </c>
      <c r="AC129" s="33"/>
    </row>
    <row r="130" spans="1:32" s="51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371</v>
      </c>
      <c r="S130" s="41" t="s">
        <v>52</v>
      </c>
      <c r="T130" s="3">
        <v>0</v>
      </c>
      <c r="U130" s="3">
        <v>0</v>
      </c>
      <c r="V130" s="3">
        <v>0</v>
      </c>
      <c r="W130" s="3">
        <v>0</v>
      </c>
      <c r="X130" s="3">
        <v>5.0999999999999996</v>
      </c>
      <c r="Y130" s="3">
        <v>33</v>
      </c>
      <c r="Z130" s="3">
        <v>33</v>
      </c>
      <c r="AA130" s="6">
        <f>SUM(T130:Z130)</f>
        <v>71.099999999999994</v>
      </c>
      <c r="AB130" s="41">
        <v>2024</v>
      </c>
      <c r="AC130" s="33"/>
    </row>
    <row r="131" spans="1:32" s="72" customFormat="1" ht="31.5" x14ac:dyDescent="0.25">
      <c r="A131" s="54" t="s">
        <v>18</v>
      </c>
      <c r="B131" s="54" t="s">
        <v>18</v>
      </c>
      <c r="C131" s="54" t="s">
        <v>21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152" t="s">
        <v>119</v>
      </c>
      <c r="S131" s="55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f>2978.4-622.1</f>
        <v>2356.3000000000002</v>
      </c>
      <c r="Y131" s="1">
        <v>2978.4</v>
      </c>
      <c r="Z131" s="1">
        <v>2978.4</v>
      </c>
      <c r="AA131" s="59">
        <f>SUM(T131:Z131)</f>
        <v>8313.1</v>
      </c>
      <c r="AB131" s="58">
        <v>2024</v>
      </c>
      <c r="AC131" s="33"/>
    </row>
    <row r="132" spans="1:32" s="72" customFormat="1" ht="47.25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8" t="s">
        <v>372</v>
      </c>
      <c r="S132" s="41" t="s">
        <v>52</v>
      </c>
      <c r="T132" s="3">
        <v>0</v>
      </c>
      <c r="U132" s="3">
        <v>0</v>
      </c>
      <c r="V132" s="3">
        <v>0</v>
      </c>
      <c r="W132" s="3">
        <v>0</v>
      </c>
      <c r="X132" s="4">
        <v>0.2</v>
      </c>
      <c r="Y132" s="4">
        <v>0.2</v>
      </c>
      <c r="Z132" s="4">
        <v>0.2</v>
      </c>
      <c r="AA132" s="6">
        <f>X132</f>
        <v>0.2</v>
      </c>
      <c r="AB132" s="41">
        <v>2024</v>
      </c>
      <c r="AC132" s="33"/>
    </row>
    <row r="133" spans="1:32" s="51" customFormat="1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373</v>
      </c>
      <c r="S133" s="153" t="s">
        <v>34</v>
      </c>
      <c r="T133" s="3">
        <v>0</v>
      </c>
      <c r="U133" s="3">
        <v>0</v>
      </c>
      <c r="V133" s="3">
        <v>0</v>
      </c>
      <c r="W133" s="3">
        <v>0</v>
      </c>
      <c r="X133" s="3">
        <v>50</v>
      </c>
      <c r="Y133" s="3">
        <v>50</v>
      </c>
      <c r="Z133" s="3">
        <v>50</v>
      </c>
      <c r="AA133" s="6">
        <f t="shared" ref="AA133:AA134" si="47">X133</f>
        <v>50</v>
      </c>
      <c r="AB133" s="41">
        <v>2024</v>
      </c>
      <c r="AC133" s="123"/>
      <c r="AD133" s="102"/>
    </row>
    <row r="134" spans="1:32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374</v>
      </c>
      <c r="S134" s="41" t="s">
        <v>52</v>
      </c>
      <c r="T134" s="3">
        <v>0</v>
      </c>
      <c r="U134" s="3">
        <v>0</v>
      </c>
      <c r="V134" s="3">
        <v>0</v>
      </c>
      <c r="W134" s="3">
        <v>0</v>
      </c>
      <c r="X134" s="3">
        <v>11.2</v>
      </c>
      <c r="Y134" s="3">
        <v>34.6</v>
      </c>
      <c r="Z134" s="3">
        <v>34.6</v>
      </c>
      <c r="AA134" s="6">
        <f t="shared" si="47"/>
        <v>11.2</v>
      </c>
      <c r="AB134" s="41">
        <v>2024</v>
      </c>
      <c r="AC134" s="33"/>
    </row>
    <row r="135" spans="1:32" s="72" customFormat="1" ht="31.5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2" t="s">
        <v>119</v>
      </c>
      <c r="S135" s="55" t="s">
        <v>0</v>
      </c>
      <c r="T135" s="1">
        <f>102300-550-5000-1550.7+43.1+12-12</f>
        <v>95242.400000000009</v>
      </c>
      <c r="U135" s="1">
        <f>83000-4000+50</f>
        <v>79050</v>
      </c>
      <c r="V135" s="1">
        <f>89143.1+50</f>
        <v>89193.1</v>
      </c>
      <c r="W135" s="1">
        <f>89143.1+50+1000</f>
        <v>90193.1</v>
      </c>
      <c r="X135" s="1">
        <v>93202.6</v>
      </c>
      <c r="Y135" s="1">
        <v>99143.1</v>
      </c>
      <c r="Z135" s="1">
        <v>99143.1</v>
      </c>
      <c r="AA135" s="59">
        <f>SUM(T135:Z135)</f>
        <v>645167.39999999991</v>
      </c>
      <c r="AB135" s="58">
        <v>2024</v>
      </c>
      <c r="AC135" s="33"/>
    </row>
    <row r="136" spans="1:32" s="72" customFormat="1" ht="47.25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381</v>
      </c>
      <c r="S136" s="41" t="s">
        <v>52</v>
      </c>
      <c r="T136" s="4">
        <v>3.7</v>
      </c>
      <c r="U136" s="4">
        <v>3.8</v>
      </c>
      <c r="V136" s="4">
        <v>3.7</v>
      </c>
      <c r="W136" s="4">
        <v>3.7</v>
      </c>
      <c r="X136" s="4">
        <v>3.7</v>
      </c>
      <c r="Y136" s="4">
        <v>3.7</v>
      </c>
      <c r="Z136" s="4">
        <v>3.7</v>
      </c>
      <c r="AA136" s="6">
        <v>3.7</v>
      </c>
      <c r="AB136" s="41">
        <v>2024</v>
      </c>
      <c r="AC136" s="33"/>
    </row>
    <row r="137" spans="1:32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379</v>
      </c>
      <c r="S137" s="41" t="s">
        <v>50</v>
      </c>
      <c r="T137" s="44">
        <v>87</v>
      </c>
      <c r="U137" s="44">
        <v>74</v>
      </c>
      <c r="V137" s="44">
        <v>74</v>
      </c>
      <c r="W137" s="44">
        <v>70</v>
      </c>
      <c r="X137" s="44">
        <v>70</v>
      </c>
      <c r="Y137" s="44">
        <v>70</v>
      </c>
      <c r="Z137" s="44">
        <v>70</v>
      </c>
      <c r="AA137" s="49">
        <v>74</v>
      </c>
      <c r="AB137" s="41">
        <v>2024</v>
      </c>
      <c r="AC137" s="123"/>
      <c r="AD137" s="102"/>
    </row>
    <row r="138" spans="1:32" ht="47.4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375</v>
      </c>
      <c r="S138" s="153" t="s">
        <v>50</v>
      </c>
      <c r="T138" s="2">
        <v>2400</v>
      </c>
      <c r="U138" s="44">
        <v>2400</v>
      </c>
      <c r="V138" s="44">
        <v>4059</v>
      </c>
      <c r="W138" s="44">
        <v>3100</v>
      </c>
      <c r="X138" s="44">
        <v>3513</v>
      </c>
      <c r="Y138" s="44">
        <v>3513</v>
      </c>
      <c r="Z138" s="44">
        <v>3100</v>
      </c>
      <c r="AA138" s="49">
        <f>SUM(T138:Z138)</f>
        <v>22085</v>
      </c>
      <c r="AB138" s="41">
        <v>2024</v>
      </c>
      <c r="AC138" s="123"/>
      <c r="AD138" s="102"/>
    </row>
    <row r="139" spans="1:32" ht="47.2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376</v>
      </c>
      <c r="S139" s="153" t="s">
        <v>32</v>
      </c>
      <c r="T139" s="4">
        <v>12100</v>
      </c>
      <c r="U139" s="3">
        <v>11300</v>
      </c>
      <c r="V139" s="3">
        <v>16000</v>
      </c>
      <c r="W139" s="3">
        <v>13499</v>
      </c>
      <c r="X139" s="3">
        <v>13000</v>
      </c>
      <c r="Y139" s="3">
        <v>13000</v>
      </c>
      <c r="Z139" s="3">
        <v>13499</v>
      </c>
      <c r="AA139" s="49">
        <f t="shared" ref="AA139:AA140" si="48">SUM(T139:Z139)</f>
        <v>92398</v>
      </c>
      <c r="AB139" s="41">
        <v>2024</v>
      </c>
      <c r="AC139" s="123"/>
      <c r="AD139" s="102"/>
    </row>
    <row r="140" spans="1:32" s="51" customFormat="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380</v>
      </c>
      <c r="S140" s="153" t="s">
        <v>34</v>
      </c>
      <c r="T140" s="4">
        <v>8969</v>
      </c>
      <c r="U140" s="3">
        <v>9945</v>
      </c>
      <c r="V140" s="3">
        <v>10275</v>
      </c>
      <c r="W140" s="3">
        <v>10690</v>
      </c>
      <c r="X140" s="3">
        <v>10883</v>
      </c>
      <c r="Y140" s="3">
        <v>10883</v>
      </c>
      <c r="Z140" s="3">
        <v>12053</v>
      </c>
      <c r="AA140" s="49">
        <f t="shared" si="48"/>
        <v>73698</v>
      </c>
      <c r="AB140" s="41">
        <v>2024</v>
      </c>
      <c r="AC140" s="123"/>
      <c r="AD140" s="102"/>
    </row>
    <row r="141" spans="1:32" s="51" customFormat="1" ht="47.2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382</v>
      </c>
      <c r="S141" s="41" t="s">
        <v>52</v>
      </c>
      <c r="T141" s="3">
        <v>2557</v>
      </c>
      <c r="U141" s="3">
        <v>2220.9</v>
      </c>
      <c r="V141" s="3">
        <v>2165.9</v>
      </c>
      <c r="W141" s="3">
        <v>2189.1</v>
      </c>
      <c r="X141" s="3">
        <v>2168.1999999999998</v>
      </c>
      <c r="Y141" s="3">
        <v>2168.1999999999998</v>
      </c>
      <c r="Z141" s="3">
        <v>2168.1999999999998</v>
      </c>
      <c r="AA141" s="6">
        <f>Z141</f>
        <v>2168.1999999999998</v>
      </c>
      <c r="AB141" s="41">
        <v>2024</v>
      </c>
      <c r="AC141" s="33"/>
    </row>
    <row r="142" spans="1:32" ht="63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8" t="s">
        <v>377</v>
      </c>
      <c r="S142" s="41" t="s">
        <v>36</v>
      </c>
      <c r="T142" s="44">
        <v>247</v>
      </c>
      <c r="U142" s="44">
        <v>247</v>
      </c>
      <c r="V142" s="44">
        <v>249</v>
      </c>
      <c r="W142" s="44">
        <v>247</v>
      </c>
      <c r="X142" s="44">
        <v>247</v>
      </c>
      <c r="Y142" s="44">
        <v>247</v>
      </c>
      <c r="Z142" s="44">
        <v>247</v>
      </c>
      <c r="AA142" s="49">
        <f>SUM(T142:Z142)</f>
        <v>1731</v>
      </c>
      <c r="AB142" s="41">
        <v>2024</v>
      </c>
      <c r="AC142" s="33"/>
    </row>
    <row r="143" spans="1:32" ht="31.5" x14ac:dyDescent="0.25">
      <c r="A143" s="54" t="s">
        <v>18</v>
      </c>
      <c r="B143" s="54" t="s">
        <v>19</v>
      </c>
      <c r="C143" s="54" t="s">
        <v>24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120</v>
      </c>
      <c r="S143" s="94" t="s">
        <v>0</v>
      </c>
      <c r="T143" s="59">
        <f>0+236</f>
        <v>236</v>
      </c>
      <c r="U143" s="59">
        <f>1036-229-48-141.6</f>
        <v>617.4</v>
      </c>
      <c r="V143" s="59">
        <f>1036-150-281.7-227.2</f>
        <v>377.09999999999997</v>
      </c>
      <c r="W143" s="59">
        <f>886-30-328.2</f>
        <v>527.79999999999995</v>
      </c>
      <c r="X143" s="59">
        <v>886</v>
      </c>
      <c r="Y143" s="59">
        <v>886</v>
      </c>
      <c r="Z143" s="59">
        <v>886</v>
      </c>
      <c r="AA143" s="59">
        <f>SUM(T143:Z143)</f>
        <v>4416.3</v>
      </c>
      <c r="AB143" s="58">
        <v>2024</v>
      </c>
      <c r="AC143" s="33"/>
    </row>
    <row r="144" spans="1:32" ht="30.6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1" t="s">
        <v>121</v>
      </c>
      <c r="S144" s="153" t="s">
        <v>50</v>
      </c>
      <c r="T144" s="2">
        <v>0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49">
        <f>SUM(U144:Z144)</f>
        <v>1</v>
      </c>
      <c r="AB144" s="41">
        <v>2019</v>
      </c>
      <c r="AC144" s="123"/>
      <c r="AD144" s="109"/>
      <c r="AE144" s="109"/>
      <c r="AF144" s="109"/>
    </row>
    <row r="145" spans="1:32" ht="31.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1" t="s">
        <v>171</v>
      </c>
      <c r="S145" s="153" t="s">
        <v>50</v>
      </c>
      <c r="T145" s="2">
        <v>3</v>
      </c>
      <c r="U145" s="2">
        <f>5-1</f>
        <v>4</v>
      </c>
      <c r="V145" s="2">
        <f t="shared" ref="V145:Z145" si="49">5-1</f>
        <v>4</v>
      </c>
      <c r="W145" s="2">
        <f t="shared" si="49"/>
        <v>4</v>
      </c>
      <c r="X145" s="2">
        <f t="shared" si="49"/>
        <v>4</v>
      </c>
      <c r="Y145" s="2">
        <f t="shared" si="49"/>
        <v>4</v>
      </c>
      <c r="Z145" s="2">
        <f t="shared" si="49"/>
        <v>4</v>
      </c>
      <c r="AA145" s="49">
        <v>4</v>
      </c>
      <c r="AB145" s="41">
        <v>2024</v>
      </c>
      <c r="AC145" s="33"/>
      <c r="AD145" s="109"/>
      <c r="AE145" s="109"/>
      <c r="AF145" s="109"/>
    </row>
    <row r="146" spans="1:32" ht="31.5" x14ac:dyDescent="0.25">
      <c r="A146" s="54" t="s">
        <v>18</v>
      </c>
      <c r="B146" s="54" t="s">
        <v>19</v>
      </c>
      <c r="C146" s="54" t="s">
        <v>20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166</v>
      </c>
      <c r="S146" s="94" t="s">
        <v>0</v>
      </c>
      <c r="T146" s="59">
        <f>0+550+1550.7</f>
        <v>2100.6999999999998</v>
      </c>
      <c r="U146" s="59">
        <f>0+4000</f>
        <v>4000</v>
      </c>
      <c r="V146" s="59">
        <f>0</f>
        <v>0</v>
      </c>
      <c r="W146" s="59">
        <f>0</f>
        <v>0</v>
      </c>
      <c r="X146" s="59">
        <f>3179.1+3307.4</f>
        <v>6486.5</v>
      </c>
      <c r="Y146" s="59">
        <f>0</f>
        <v>0</v>
      </c>
      <c r="Z146" s="59">
        <f>0</f>
        <v>0</v>
      </c>
      <c r="AA146" s="59">
        <f>SUM(T146:Z146)</f>
        <v>12587.2</v>
      </c>
      <c r="AB146" s="58">
        <v>2022</v>
      </c>
      <c r="AC146" s="33"/>
    </row>
    <row r="147" spans="1:32" ht="30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165</v>
      </c>
      <c r="S147" s="153" t="s">
        <v>38</v>
      </c>
      <c r="T147" s="2">
        <v>2</v>
      </c>
      <c r="U147" s="2">
        <v>1</v>
      </c>
      <c r="V147" s="2">
        <v>0</v>
      </c>
      <c r="W147" s="2">
        <v>0</v>
      </c>
      <c r="X147" s="2">
        <v>4</v>
      </c>
      <c r="Y147" s="2">
        <v>0</v>
      </c>
      <c r="Z147" s="2">
        <v>0</v>
      </c>
      <c r="AA147" s="49">
        <f>SUM(T147:Z147)</f>
        <v>7</v>
      </c>
      <c r="AB147" s="41">
        <v>2022</v>
      </c>
      <c r="AC147" s="123"/>
      <c r="AD147" s="109"/>
      <c r="AE147" s="109"/>
      <c r="AF147" s="109"/>
    </row>
    <row r="148" spans="1:32" ht="15.6" customHeight="1" x14ac:dyDescent="0.25">
      <c r="A148" s="54"/>
      <c r="B148" s="54"/>
      <c r="C148" s="54"/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257</v>
      </c>
      <c r="L148" s="54" t="s">
        <v>20</v>
      </c>
      <c r="M148" s="54" t="s">
        <v>18</v>
      </c>
      <c r="N148" s="54" t="s">
        <v>18</v>
      </c>
      <c r="O148" s="54" t="s">
        <v>18</v>
      </c>
      <c r="P148" s="54" t="s">
        <v>18</v>
      </c>
      <c r="Q148" s="54" t="s">
        <v>18</v>
      </c>
      <c r="R148" s="169" t="s">
        <v>278</v>
      </c>
      <c r="S148" s="159" t="s">
        <v>0</v>
      </c>
      <c r="T148" s="59">
        <v>0</v>
      </c>
      <c r="U148" s="59">
        <f>SUM(U149:U152)</f>
        <v>116632.7</v>
      </c>
      <c r="V148" s="59">
        <f>V150+V149+V151+V152+V153</f>
        <v>125649.7</v>
      </c>
      <c r="W148" s="59">
        <f>SUM(W149:W152)</f>
        <v>80922.399999999994</v>
      </c>
      <c r="X148" s="59">
        <f>X150+X152</f>
        <v>80608</v>
      </c>
      <c r="Y148" s="59">
        <f t="shared" ref="Y148:Z148" si="50">Y150</f>
        <v>5000</v>
      </c>
      <c r="Z148" s="59">
        <f t="shared" si="50"/>
        <v>5000</v>
      </c>
      <c r="AA148" s="59">
        <f>SUM(T148:Z148)</f>
        <v>413812.8</v>
      </c>
      <c r="AB148" s="58">
        <v>2024</v>
      </c>
      <c r="AD148" s="104"/>
      <c r="AE148" s="104"/>
    </row>
    <row r="149" spans="1:32" hidden="1" x14ac:dyDescent="0.25">
      <c r="A149" s="54" t="s">
        <v>18</v>
      </c>
      <c r="B149" s="54" t="s">
        <v>19</v>
      </c>
      <c r="C149" s="54" t="s">
        <v>20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257</v>
      </c>
      <c r="L149" s="54" t="s">
        <v>20</v>
      </c>
      <c r="M149" s="54" t="s">
        <v>21</v>
      </c>
      <c r="N149" s="54" t="s">
        <v>21</v>
      </c>
      <c r="O149" s="54" t="s">
        <v>21</v>
      </c>
      <c r="P149" s="54" t="s">
        <v>21</v>
      </c>
      <c r="Q149" s="54" t="s">
        <v>19</v>
      </c>
      <c r="R149" s="170"/>
      <c r="S149" s="160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59">
        <f>SUM(T149:Z149)</f>
        <v>0</v>
      </c>
      <c r="AB149" s="58">
        <v>2024</v>
      </c>
      <c r="AD149" s="104"/>
      <c r="AE149" s="104"/>
    </row>
    <row r="150" spans="1:32" x14ac:dyDescent="0.25">
      <c r="A150" s="54" t="s">
        <v>18</v>
      </c>
      <c r="B150" s="54" t="s">
        <v>24</v>
      </c>
      <c r="C150" s="54" t="s">
        <v>22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257</v>
      </c>
      <c r="L150" s="54" t="s">
        <v>20</v>
      </c>
      <c r="M150" s="54" t="s">
        <v>21</v>
      </c>
      <c r="N150" s="54" t="s">
        <v>21</v>
      </c>
      <c r="O150" s="54" t="s">
        <v>21</v>
      </c>
      <c r="P150" s="54" t="s">
        <v>21</v>
      </c>
      <c r="Q150" s="54" t="s">
        <v>19</v>
      </c>
      <c r="R150" s="170"/>
      <c r="S150" s="160"/>
      <c r="T150" s="1">
        <v>0</v>
      </c>
      <c r="U150" s="1">
        <f>115690</f>
        <v>115690</v>
      </c>
      <c r="V150" s="1">
        <v>112612.2</v>
      </c>
      <c r="W150" s="1">
        <f>77969.8+435.9</f>
        <v>78405.7</v>
      </c>
      <c r="X150" s="1">
        <v>74023.7</v>
      </c>
      <c r="Y150" s="1">
        <v>5000</v>
      </c>
      <c r="Z150" s="1">
        <v>5000</v>
      </c>
      <c r="AA150" s="59">
        <f t="shared" ref="AA150:AA152" si="51">SUM(T150:Z150)</f>
        <v>390731.60000000003</v>
      </c>
      <c r="AB150" s="58">
        <v>2024</v>
      </c>
      <c r="AD150" s="104"/>
      <c r="AE150" s="104"/>
    </row>
    <row r="151" spans="1:32" ht="15.6" hidden="1" customHeight="1" x14ac:dyDescent="0.25">
      <c r="A151" s="54" t="s">
        <v>18</v>
      </c>
      <c r="B151" s="54" t="s">
        <v>19</v>
      </c>
      <c r="C151" s="54" t="s">
        <v>20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170"/>
      <c r="S151" s="160"/>
      <c r="T151" s="1">
        <v>0</v>
      </c>
      <c r="U151" s="1">
        <f>840+131.2-50-921.2</f>
        <v>0</v>
      </c>
      <c r="V151" s="1">
        <f>150+100+100-350</f>
        <v>0</v>
      </c>
      <c r="W151" s="1">
        <v>0</v>
      </c>
      <c r="X151" s="1">
        <v>0</v>
      </c>
      <c r="Y151" s="1">
        <v>0</v>
      </c>
      <c r="Z151" s="1">
        <v>0</v>
      </c>
      <c r="AA151" s="59">
        <f t="shared" ref="AA151" si="52">SUM(T151:Z151)</f>
        <v>0</v>
      </c>
      <c r="AB151" s="58">
        <v>2020</v>
      </c>
      <c r="AD151" s="104"/>
      <c r="AE151" s="104"/>
    </row>
    <row r="152" spans="1:32" x14ac:dyDescent="0.25">
      <c r="A152" s="54" t="s">
        <v>18</v>
      </c>
      <c r="B152" s="54" t="s">
        <v>24</v>
      </c>
      <c r="C152" s="54" t="s">
        <v>22</v>
      </c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257</v>
      </c>
      <c r="L152" s="54" t="s">
        <v>20</v>
      </c>
      <c r="M152" s="54" t="s">
        <v>18</v>
      </c>
      <c r="N152" s="54" t="s">
        <v>18</v>
      </c>
      <c r="O152" s="54" t="s">
        <v>21</v>
      </c>
      <c r="P152" s="54" t="s">
        <v>21</v>
      </c>
      <c r="Q152" s="54" t="s">
        <v>19</v>
      </c>
      <c r="R152" s="170"/>
      <c r="S152" s="160"/>
      <c r="T152" s="1">
        <v>0</v>
      </c>
      <c r="U152" s="1">
        <f>2865.5-1232.8-690</f>
        <v>942.7</v>
      </c>
      <c r="V152" s="1">
        <v>4437.5</v>
      </c>
      <c r="W152" s="1">
        <f>4265.6-1748.9</f>
        <v>2516.7000000000003</v>
      </c>
      <c r="X152" s="1">
        <v>6584.3</v>
      </c>
      <c r="Y152" s="1">
        <v>0</v>
      </c>
      <c r="Z152" s="1">
        <v>0</v>
      </c>
      <c r="AA152" s="59">
        <f t="shared" si="51"/>
        <v>14481.2</v>
      </c>
      <c r="AB152" s="58">
        <v>2022</v>
      </c>
      <c r="AD152" s="104"/>
      <c r="AE152" s="104"/>
    </row>
    <row r="153" spans="1:32" x14ac:dyDescent="0.25">
      <c r="A153" s="54" t="s">
        <v>18</v>
      </c>
      <c r="B153" s="54" t="s">
        <v>24</v>
      </c>
      <c r="C153" s="54" t="s">
        <v>22</v>
      </c>
      <c r="D153" s="54" t="s">
        <v>18</v>
      </c>
      <c r="E153" s="54" t="s">
        <v>21</v>
      </c>
      <c r="F153" s="54" t="s">
        <v>18</v>
      </c>
      <c r="G153" s="54" t="s">
        <v>21</v>
      </c>
      <c r="H153" s="54" t="s">
        <v>19</v>
      </c>
      <c r="I153" s="54" t="s">
        <v>24</v>
      </c>
      <c r="J153" s="54" t="s">
        <v>18</v>
      </c>
      <c r="K153" s="54" t="s">
        <v>257</v>
      </c>
      <c r="L153" s="54" t="s">
        <v>20</v>
      </c>
      <c r="M153" s="54" t="s">
        <v>21</v>
      </c>
      <c r="N153" s="54" t="s">
        <v>21</v>
      </c>
      <c r="O153" s="54" t="s">
        <v>21</v>
      </c>
      <c r="P153" s="54" t="s">
        <v>21</v>
      </c>
      <c r="Q153" s="54" t="s">
        <v>19</v>
      </c>
      <c r="R153" s="171"/>
      <c r="S153" s="161"/>
      <c r="T153" s="1">
        <v>0</v>
      </c>
      <c r="U153" s="1">
        <v>0</v>
      </c>
      <c r="V153" s="1">
        <v>8600</v>
      </c>
      <c r="W153" s="1">
        <v>0</v>
      </c>
      <c r="X153" s="1">
        <v>0</v>
      </c>
      <c r="Y153" s="1">
        <v>0</v>
      </c>
      <c r="Z153" s="1">
        <v>0</v>
      </c>
      <c r="AA153" s="59">
        <f t="shared" ref="AA153" si="53">SUM(T153:Z153)</f>
        <v>8600</v>
      </c>
      <c r="AB153" s="58">
        <v>2020</v>
      </c>
      <c r="AD153" s="104"/>
      <c r="AE153" s="104"/>
    </row>
    <row r="154" spans="1:32" ht="31.5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61" t="s">
        <v>74</v>
      </c>
      <c r="S154" s="62" t="s">
        <v>38</v>
      </c>
      <c r="T154" s="2">
        <v>0</v>
      </c>
      <c r="U154" s="2">
        <v>6</v>
      </c>
      <c r="V154" s="44">
        <v>4</v>
      </c>
      <c r="W154" s="44">
        <v>2</v>
      </c>
      <c r="X154" s="44">
        <v>3</v>
      </c>
      <c r="Y154" s="2">
        <v>3</v>
      </c>
      <c r="Z154" s="2">
        <v>3</v>
      </c>
      <c r="AA154" s="49">
        <f>SUM(T154:Z154)</f>
        <v>21</v>
      </c>
      <c r="AB154" s="153">
        <v>2024</v>
      </c>
      <c r="AD154" s="104"/>
      <c r="AE154" s="104"/>
    </row>
    <row r="155" spans="1:32" ht="31.1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75</v>
      </c>
      <c r="S155" s="62" t="s">
        <v>52</v>
      </c>
      <c r="T155" s="4">
        <v>0</v>
      </c>
      <c r="U155" s="4">
        <v>58.4</v>
      </c>
      <c r="V155" s="3">
        <f>33.1+13.1</f>
        <v>46.2</v>
      </c>
      <c r="W155" s="3">
        <f>37.9+28.5</f>
        <v>66.400000000000006</v>
      </c>
      <c r="X155" s="3">
        <f>12.5+15.7+28.5</f>
        <v>56.7</v>
      </c>
      <c r="Y155" s="4">
        <v>64.3</v>
      </c>
      <c r="Z155" s="4">
        <v>64.3</v>
      </c>
      <c r="AA155" s="6">
        <f>SUM(T155:Z155)</f>
        <v>356.3</v>
      </c>
      <c r="AB155" s="41">
        <v>2024</v>
      </c>
      <c r="AD155" s="104"/>
      <c r="AE155" s="104"/>
    </row>
    <row r="156" spans="1:32" ht="31.5" x14ac:dyDescent="0.25">
      <c r="A156" s="54" t="s">
        <v>18</v>
      </c>
      <c r="B156" s="54" t="s">
        <v>18</v>
      </c>
      <c r="C156" s="54" t="s">
        <v>25</v>
      </c>
      <c r="D156" s="54" t="s">
        <v>18</v>
      </c>
      <c r="E156" s="54" t="s">
        <v>21</v>
      </c>
      <c r="F156" s="54" t="s">
        <v>18</v>
      </c>
      <c r="G156" s="54" t="s">
        <v>22</v>
      </c>
      <c r="H156" s="54" t="s">
        <v>19</v>
      </c>
      <c r="I156" s="54" t="s">
        <v>24</v>
      </c>
      <c r="J156" s="54" t="s">
        <v>18</v>
      </c>
      <c r="K156" s="54" t="s">
        <v>18</v>
      </c>
      <c r="L156" s="54" t="s">
        <v>19</v>
      </c>
      <c r="M156" s="54" t="s">
        <v>19</v>
      </c>
      <c r="N156" s="54" t="s">
        <v>19</v>
      </c>
      <c r="O156" s="54" t="s">
        <v>19</v>
      </c>
      <c r="P156" s="54" t="s">
        <v>169</v>
      </c>
      <c r="Q156" s="54" t="s">
        <v>18</v>
      </c>
      <c r="R156" s="68" t="s">
        <v>323</v>
      </c>
      <c r="S156" s="55" t="s">
        <v>0</v>
      </c>
      <c r="T156" s="59">
        <v>0</v>
      </c>
      <c r="U156" s="59">
        <f>103354.8-103354.8</f>
        <v>0</v>
      </c>
      <c r="V156" s="59">
        <v>1000</v>
      </c>
      <c r="W156" s="59">
        <v>0</v>
      </c>
      <c r="X156" s="59">
        <v>0</v>
      </c>
      <c r="Y156" s="59">
        <v>0</v>
      </c>
      <c r="Z156" s="59">
        <v>0</v>
      </c>
      <c r="AA156" s="59">
        <f>SUM(T156:Y156)</f>
        <v>1000</v>
      </c>
      <c r="AB156" s="58">
        <v>2020</v>
      </c>
      <c r="AD156" s="104"/>
      <c r="AE156" s="104"/>
    </row>
    <row r="157" spans="1:32" ht="31.5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322</v>
      </c>
      <c r="S157" s="41" t="s">
        <v>38</v>
      </c>
      <c r="T157" s="44">
        <v>0</v>
      </c>
      <c r="U157" s="44">
        <v>0</v>
      </c>
      <c r="V157" s="44">
        <v>1</v>
      </c>
      <c r="W157" s="44">
        <v>0</v>
      </c>
      <c r="X157" s="44">
        <v>0</v>
      </c>
      <c r="Y157" s="44">
        <v>0</v>
      </c>
      <c r="Z157" s="44">
        <v>0</v>
      </c>
      <c r="AA157" s="49">
        <f t="shared" ref="AA157" si="54">SUM(T157:Y157)</f>
        <v>1</v>
      </c>
      <c r="AB157" s="73">
        <v>2020</v>
      </c>
      <c r="AD157" s="104"/>
      <c r="AE157" s="104"/>
    </row>
    <row r="158" spans="1:32" ht="47.25" x14ac:dyDescent="0.25">
      <c r="A158" s="54"/>
      <c r="B158" s="54"/>
      <c r="C158" s="54"/>
      <c r="D158" s="54" t="s">
        <v>18</v>
      </c>
      <c r="E158" s="54" t="s">
        <v>21</v>
      </c>
      <c r="F158" s="54" t="s">
        <v>18</v>
      </c>
      <c r="G158" s="54" t="s">
        <v>22</v>
      </c>
      <c r="H158" s="54" t="s">
        <v>19</v>
      </c>
      <c r="I158" s="54" t="s">
        <v>24</v>
      </c>
      <c r="J158" s="54" t="s">
        <v>18</v>
      </c>
      <c r="K158" s="54" t="s">
        <v>18</v>
      </c>
      <c r="L158" s="54" t="s">
        <v>19</v>
      </c>
      <c r="M158" s="54" t="s">
        <v>43</v>
      </c>
      <c r="N158" s="54" t="s">
        <v>43</v>
      </c>
      <c r="O158" s="54" t="s">
        <v>43</v>
      </c>
      <c r="P158" s="54" t="s">
        <v>43</v>
      </c>
      <c r="Q158" s="54" t="s">
        <v>43</v>
      </c>
      <c r="R158" s="68" t="s">
        <v>325</v>
      </c>
      <c r="S158" s="58" t="s">
        <v>0</v>
      </c>
      <c r="T158" s="59">
        <v>0</v>
      </c>
      <c r="U158" s="59">
        <f>103354.8-103354.8</f>
        <v>0</v>
      </c>
      <c r="V158" s="59">
        <v>0</v>
      </c>
      <c r="W158" s="59">
        <f t="shared" ref="W158:Z158" si="55">W160+W162+W164+W166</f>
        <v>2070.3000000000002</v>
      </c>
      <c r="X158" s="59">
        <f t="shared" si="55"/>
        <v>2899.6</v>
      </c>
      <c r="Y158" s="59">
        <f t="shared" si="55"/>
        <v>7000</v>
      </c>
      <c r="Z158" s="59">
        <f t="shared" si="55"/>
        <v>7000</v>
      </c>
      <c r="AA158" s="59">
        <f t="shared" ref="AA158:AA167" si="56">SUM(T158:Z158)</f>
        <v>18969.900000000001</v>
      </c>
      <c r="AB158" s="58">
        <v>2024</v>
      </c>
      <c r="AD158" s="104"/>
      <c r="AE158" s="104"/>
    </row>
    <row r="159" spans="1:32" ht="47.2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340</v>
      </c>
      <c r="S159" s="41" t="s">
        <v>52</v>
      </c>
      <c r="T159" s="44">
        <v>0</v>
      </c>
      <c r="U159" s="44">
        <v>0</v>
      </c>
      <c r="V159" s="44">
        <v>0</v>
      </c>
      <c r="W159" s="3">
        <f t="shared" ref="W159:Z159" si="57">W161+W163+W165+W167</f>
        <v>796.2</v>
      </c>
      <c r="X159" s="3">
        <f t="shared" si="57"/>
        <v>1033.0000000000002</v>
      </c>
      <c r="Y159" s="3">
        <f t="shared" si="57"/>
        <v>1033.0000000000002</v>
      </c>
      <c r="Z159" s="3">
        <f t="shared" si="57"/>
        <v>1033.0000000000002</v>
      </c>
      <c r="AA159" s="49">
        <f t="shared" si="56"/>
        <v>3895.2000000000007</v>
      </c>
      <c r="AB159" s="41">
        <v>2024</v>
      </c>
      <c r="AD159" s="104"/>
      <c r="AE159" s="104"/>
    </row>
    <row r="160" spans="1:32" ht="47.25" x14ac:dyDescent="0.25">
      <c r="A160" s="54" t="s">
        <v>18</v>
      </c>
      <c r="B160" s="54" t="s">
        <v>18</v>
      </c>
      <c r="C160" s="54" t="s">
        <v>22</v>
      </c>
      <c r="D160" s="54" t="s">
        <v>18</v>
      </c>
      <c r="E160" s="54" t="s">
        <v>21</v>
      </c>
      <c r="F160" s="54" t="s">
        <v>18</v>
      </c>
      <c r="G160" s="54" t="s">
        <v>22</v>
      </c>
      <c r="H160" s="54" t="s">
        <v>19</v>
      </c>
      <c r="I160" s="54" t="s">
        <v>24</v>
      </c>
      <c r="J160" s="54" t="s">
        <v>18</v>
      </c>
      <c r="K160" s="54" t="s">
        <v>18</v>
      </c>
      <c r="L160" s="54" t="s">
        <v>19</v>
      </c>
      <c r="M160" s="54" t="s">
        <v>43</v>
      </c>
      <c r="N160" s="54" t="s">
        <v>43</v>
      </c>
      <c r="O160" s="54" t="s">
        <v>43</v>
      </c>
      <c r="P160" s="54" t="s">
        <v>43</v>
      </c>
      <c r="Q160" s="54" t="s">
        <v>43</v>
      </c>
      <c r="R160" s="68" t="s">
        <v>325</v>
      </c>
      <c r="S160" s="55" t="s">
        <v>0</v>
      </c>
      <c r="T160" s="1">
        <v>0</v>
      </c>
      <c r="U160" s="1">
        <f t="shared" ref="U160" si="58">103354.8-103354.8</f>
        <v>0</v>
      </c>
      <c r="V160" s="1">
        <v>0</v>
      </c>
      <c r="W160" s="1">
        <f>2000-1135.9-630.3</f>
        <v>233.79999999999995</v>
      </c>
      <c r="X160" s="1">
        <f>2000-177-1287</f>
        <v>536</v>
      </c>
      <c r="Y160" s="1">
        <v>2000</v>
      </c>
      <c r="Z160" s="1">
        <v>2000</v>
      </c>
      <c r="AA160" s="59">
        <f t="shared" si="56"/>
        <v>4769.8</v>
      </c>
      <c r="AB160" s="58">
        <v>2024</v>
      </c>
      <c r="AD160" s="104"/>
      <c r="AE160" s="104"/>
    </row>
    <row r="161" spans="1:3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74" t="s">
        <v>341</v>
      </c>
      <c r="S161" s="41" t="s">
        <v>52</v>
      </c>
      <c r="T161" s="44">
        <v>0</v>
      </c>
      <c r="U161" s="44">
        <v>0</v>
      </c>
      <c r="V161" s="44">
        <v>0</v>
      </c>
      <c r="W161" s="3">
        <v>135</v>
      </c>
      <c r="X161" s="3">
        <v>222.3</v>
      </c>
      <c r="Y161" s="3">
        <v>222.3</v>
      </c>
      <c r="Z161" s="3">
        <v>222.3</v>
      </c>
      <c r="AA161" s="6">
        <f t="shared" si="56"/>
        <v>801.90000000000009</v>
      </c>
      <c r="AB161" s="41">
        <v>2024</v>
      </c>
      <c r="AD161" s="104"/>
      <c r="AE161" s="104"/>
    </row>
    <row r="162" spans="1:31" ht="47.25" x14ac:dyDescent="0.25">
      <c r="A162" s="54" t="s">
        <v>18</v>
      </c>
      <c r="B162" s="54" t="s">
        <v>18</v>
      </c>
      <c r="C162" s="54" t="s">
        <v>24</v>
      </c>
      <c r="D162" s="54" t="s">
        <v>18</v>
      </c>
      <c r="E162" s="54" t="s">
        <v>21</v>
      </c>
      <c r="F162" s="54" t="s">
        <v>18</v>
      </c>
      <c r="G162" s="54" t="s">
        <v>22</v>
      </c>
      <c r="H162" s="54" t="s">
        <v>19</v>
      </c>
      <c r="I162" s="54" t="s">
        <v>24</v>
      </c>
      <c r="J162" s="54" t="s">
        <v>18</v>
      </c>
      <c r="K162" s="54" t="s">
        <v>18</v>
      </c>
      <c r="L162" s="54" t="s">
        <v>19</v>
      </c>
      <c r="M162" s="54" t="s">
        <v>43</v>
      </c>
      <c r="N162" s="54" t="s">
        <v>43</v>
      </c>
      <c r="O162" s="54" t="s">
        <v>43</v>
      </c>
      <c r="P162" s="54" t="s">
        <v>43</v>
      </c>
      <c r="Q162" s="54" t="s">
        <v>43</v>
      </c>
      <c r="R162" s="68" t="s">
        <v>325</v>
      </c>
      <c r="S162" s="55" t="s">
        <v>0</v>
      </c>
      <c r="T162" s="1">
        <v>0</v>
      </c>
      <c r="U162" s="1">
        <f t="shared" ref="U162" si="59">103354.8-103354.8</f>
        <v>0</v>
      </c>
      <c r="V162" s="1">
        <v>0</v>
      </c>
      <c r="W162" s="1">
        <f>1500-57.9-698.8-150</f>
        <v>593.29999999999995</v>
      </c>
      <c r="X162" s="1">
        <f>1500-417.3-15-567.7</f>
        <v>500</v>
      </c>
      <c r="Y162" s="1">
        <v>1500</v>
      </c>
      <c r="Z162" s="1">
        <v>1500</v>
      </c>
      <c r="AA162" s="59">
        <f t="shared" si="56"/>
        <v>4093.3</v>
      </c>
      <c r="AB162" s="58">
        <v>2024</v>
      </c>
      <c r="AD162" s="104"/>
      <c r="AE162" s="104"/>
    </row>
    <row r="163" spans="1:31" ht="47.25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61" t="s">
        <v>342</v>
      </c>
      <c r="S163" s="41" t="s">
        <v>52</v>
      </c>
      <c r="T163" s="44">
        <v>0</v>
      </c>
      <c r="U163" s="44">
        <v>0</v>
      </c>
      <c r="V163" s="44">
        <v>0</v>
      </c>
      <c r="W163" s="3">
        <v>197.4</v>
      </c>
      <c r="X163" s="3">
        <v>295.60000000000002</v>
      </c>
      <c r="Y163" s="3">
        <v>295.60000000000002</v>
      </c>
      <c r="Z163" s="3">
        <v>295.60000000000002</v>
      </c>
      <c r="AA163" s="6">
        <f t="shared" si="56"/>
        <v>1084.2</v>
      </c>
      <c r="AB163" s="41">
        <v>2024</v>
      </c>
      <c r="AD163" s="104"/>
      <c r="AE163" s="104"/>
    </row>
    <row r="164" spans="1:31" ht="47.25" x14ac:dyDescent="0.25">
      <c r="A164" s="54" t="s">
        <v>18</v>
      </c>
      <c r="B164" s="54" t="s">
        <v>18</v>
      </c>
      <c r="C164" s="54" t="s">
        <v>21</v>
      </c>
      <c r="D164" s="54" t="s">
        <v>18</v>
      </c>
      <c r="E164" s="54" t="s">
        <v>21</v>
      </c>
      <c r="F164" s="54" t="s">
        <v>18</v>
      </c>
      <c r="G164" s="54" t="s">
        <v>22</v>
      </c>
      <c r="H164" s="54" t="s">
        <v>19</v>
      </c>
      <c r="I164" s="54" t="s">
        <v>24</v>
      </c>
      <c r="J164" s="54" t="s">
        <v>18</v>
      </c>
      <c r="K164" s="54" t="s">
        <v>18</v>
      </c>
      <c r="L164" s="54" t="s">
        <v>19</v>
      </c>
      <c r="M164" s="54" t="s">
        <v>43</v>
      </c>
      <c r="N164" s="54" t="s">
        <v>43</v>
      </c>
      <c r="O164" s="54" t="s">
        <v>43</v>
      </c>
      <c r="P164" s="54" t="s">
        <v>43</v>
      </c>
      <c r="Q164" s="54" t="s">
        <v>43</v>
      </c>
      <c r="R164" s="68" t="s">
        <v>325</v>
      </c>
      <c r="S164" s="55" t="s">
        <v>0</v>
      </c>
      <c r="T164" s="1">
        <v>0</v>
      </c>
      <c r="U164" s="1">
        <f t="shared" ref="U164" si="60">103354.8-103354.8</f>
        <v>0</v>
      </c>
      <c r="V164" s="1">
        <v>0</v>
      </c>
      <c r="W164" s="1">
        <f>2000-26.3-155-153-1074.6</f>
        <v>591.10000000000014</v>
      </c>
      <c r="X164" s="1">
        <f>2000-37-600</f>
        <v>1363</v>
      </c>
      <c r="Y164" s="1">
        <v>2000</v>
      </c>
      <c r="Z164" s="1">
        <v>2000</v>
      </c>
      <c r="AA164" s="59">
        <f t="shared" si="56"/>
        <v>5954.1</v>
      </c>
      <c r="AB164" s="58">
        <v>2024</v>
      </c>
      <c r="AD164" s="104"/>
      <c r="AE164" s="104"/>
    </row>
    <row r="165" spans="1:31" ht="47.2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343</v>
      </c>
      <c r="S165" s="41" t="s">
        <v>52</v>
      </c>
      <c r="T165" s="44">
        <v>0</v>
      </c>
      <c r="U165" s="44">
        <v>0</v>
      </c>
      <c r="V165" s="44">
        <v>0</v>
      </c>
      <c r="W165" s="3">
        <v>225</v>
      </c>
      <c r="X165" s="3">
        <v>274.2</v>
      </c>
      <c r="Y165" s="3">
        <v>274.2</v>
      </c>
      <c r="Z165" s="3">
        <v>274.2</v>
      </c>
      <c r="AA165" s="6">
        <f t="shared" si="56"/>
        <v>1047.5999999999999</v>
      </c>
      <c r="AB165" s="41">
        <v>2024</v>
      </c>
      <c r="AD165" s="104"/>
      <c r="AE165" s="104"/>
    </row>
    <row r="166" spans="1:31" ht="47.25" x14ac:dyDescent="0.25">
      <c r="A166" s="54" t="s">
        <v>18</v>
      </c>
      <c r="B166" s="54" t="s">
        <v>18</v>
      </c>
      <c r="C166" s="54" t="s">
        <v>25</v>
      </c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19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68" t="s">
        <v>325</v>
      </c>
      <c r="S166" s="55" t="s">
        <v>0</v>
      </c>
      <c r="T166" s="1">
        <v>0</v>
      </c>
      <c r="U166" s="1">
        <f t="shared" ref="U166" si="61">103354.8-103354.8</f>
        <v>0</v>
      </c>
      <c r="V166" s="1">
        <v>0</v>
      </c>
      <c r="W166" s="1">
        <f>1500-817.5-30.4</f>
        <v>652.1</v>
      </c>
      <c r="X166" s="1">
        <f>1500-999.4</f>
        <v>500.6</v>
      </c>
      <c r="Y166" s="1">
        <v>1500</v>
      </c>
      <c r="Z166" s="1">
        <v>1500</v>
      </c>
      <c r="AA166" s="59">
        <f t="shared" si="56"/>
        <v>4152.7</v>
      </c>
      <c r="AB166" s="58">
        <v>2024</v>
      </c>
      <c r="AD166" s="104"/>
      <c r="AE166" s="104"/>
    </row>
    <row r="167" spans="1:31" ht="47.2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344</v>
      </c>
      <c r="S167" s="41" t="s">
        <v>52</v>
      </c>
      <c r="T167" s="44">
        <v>0</v>
      </c>
      <c r="U167" s="44">
        <v>0</v>
      </c>
      <c r="V167" s="44">
        <v>0</v>
      </c>
      <c r="W167" s="3">
        <v>238.8</v>
      </c>
      <c r="X167" s="3">
        <v>240.9</v>
      </c>
      <c r="Y167" s="3">
        <v>240.9</v>
      </c>
      <c r="Z167" s="3">
        <v>240.9</v>
      </c>
      <c r="AA167" s="6">
        <f t="shared" si="56"/>
        <v>961.5</v>
      </c>
      <c r="AB167" s="41">
        <v>2024</v>
      </c>
      <c r="AD167" s="104"/>
      <c r="AE167" s="104"/>
    </row>
    <row r="168" spans="1:31" ht="80.25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152" t="s">
        <v>353</v>
      </c>
      <c r="S168" s="55" t="s">
        <v>41</v>
      </c>
      <c r="T168" s="56">
        <v>0</v>
      </c>
      <c r="U168" s="56">
        <v>0</v>
      </c>
      <c r="V168" s="56">
        <v>0</v>
      </c>
      <c r="W168" s="56">
        <v>1</v>
      </c>
      <c r="X168" s="56">
        <v>1</v>
      </c>
      <c r="Y168" s="56">
        <v>1</v>
      </c>
      <c r="Z168" s="56">
        <v>1</v>
      </c>
      <c r="AA168" s="57">
        <v>1</v>
      </c>
      <c r="AB168" s="58">
        <v>2024</v>
      </c>
      <c r="AD168" s="104"/>
      <c r="AE168" s="104"/>
    </row>
    <row r="169" spans="1:31" ht="79.900000000000006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354</v>
      </c>
      <c r="S169" s="62" t="s">
        <v>38</v>
      </c>
      <c r="T169" s="44">
        <v>0</v>
      </c>
      <c r="U169" s="44">
        <v>0</v>
      </c>
      <c r="V169" s="44">
        <v>0</v>
      </c>
      <c r="W169" s="44">
        <v>4</v>
      </c>
      <c r="X169" s="44">
        <v>4</v>
      </c>
      <c r="Y169" s="44">
        <v>4</v>
      </c>
      <c r="Z169" s="44">
        <v>4</v>
      </c>
      <c r="AA169" s="49">
        <f>SUM(T169:Z169)</f>
        <v>16</v>
      </c>
      <c r="AB169" s="41">
        <v>2024</v>
      </c>
      <c r="AD169" s="104"/>
      <c r="AE169" s="104"/>
    </row>
    <row r="170" spans="1:31" ht="78.75" x14ac:dyDescent="0.2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152" t="s">
        <v>355</v>
      </c>
      <c r="S170" s="55" t="s">
        <v>41</v>
      </c>
      <c r="T170" s="56">
        <v>0</v>
      </c>
      <c r="U170" s="56">
        <v>0</v>
      </c>
      <c r="V170" s="56">
        <v>0</v>
      </c>
      <c r="W170" s="56">
        <v>1</v>
      </c>
      <c r="X170" s="56">
        <v>1</v>
      </c>
      <c r="Y170" s="56">
        <v>1</v>
      </c>
      <c r="Z170" s="56">
        <v>1</v>
      </c>
      <c r="AA170" s="57">
        <v>1</v>
      </c>
      <c r="AB170" s="58">
        <v>2024</v>
      </c>
      <c r="AD170" s="104"/>
      <c r="AE170" s="104"/>
    </row>
    <row r="171" spans="1:31" ht="78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360</v>
      </c>
      <c r="S171" s="62" t="s">
        <v>38</v>
      </c>
      <c r="T171" s="44">
        <v>0</v>
      </c>
      <c r="U171" s="44">
        <v>0</v>
      </c>
      <c r="V171" s="44">
        <v>0</v>
      </c>
      <c r="W171" s="44">
        <v>12</v>
      </c>
      <c r="X171" s="44">
        <v>12</v>
      </c>
      <c r="Y171" s="44">
        <v>12</v>
      </c>
      <c r="Z171" s="44">
        <v>12</v>
      </c>
      <c r="AA171" s="49">
        <f>SUM(T171:Z171)</f>
        <v>48</v>
      </c>
      <c r="AB171" s="41">
        <v>2024</v>
      </c>
      <c r="AD171" s="104"/>
      <c r="AE171" s="104"/>
    </row>
    <row r="172" spans="1:31" s="51" customFormat="1" ht="31.5" x14ac:dyDescent="0.25">
      <c r="A172" s="46"/>
      <c r="B172" s="46"/>
      <c r="C172" s="46"/>
      <c r="D172" s="46"/>
      <c r="E172" s="46"/>
      <c r="F172" s="46"/>
      <c r="G172" s="46"/>
      <c r="H172" s="46" t="s">
        <v>19</v>
      </c>
      <c r="I172" s="46" t="s">
        <v>24</v>
      </c>
      <c r="J172" s="46" t="s">
        <v>18</v>
      </c>
      <c r="K172" s="46" t="s">
        <v>18</v>
      </c>
      <c r="L172" s="46" t="s">
        <v>20</v>
      </c>
      <c r="M172" s="46" t="s">
        <v>18</v>
      </c>
      <c r="N172" s="46" t="s">
        <v>18</v>
      </c>
      <c r="O172" s="46" t="s">
        <v>18</v>
      </c>
      <c r="P172" s="46" t="s">
        <v>18</v>
      </c>
      <c r="Q172" s="46" t="s">
        <v>18</v>
      </c>
      <c r="R172" s="75" t="s">
        <v>56</v>
      </c>
      <c r="S172" s="141" t="s">
        <v>0</v>
      </c>
      <c r="T172" s="140">
        <f>T195+T242+T181+T510</f>
        <v>147061.215</v>
      </c>
      <c r="U172" s="140">
        <f>U195+U242+U181+U510</f>
        <v>108807.59999999998</v>
      </c>
      <c r="V172" s="140">
        <f>V195+V242+V181+V510</f>
        <v>7655.1</v>
      </c>
      <c r="W172" s="140">
        <f>W195+W242+W181+W510+W532</f>
        <v>33106.5</v>
      </c>
      <c r="X172" s="140">
        <f>X195+X242+X181+X510+X532</f>
        <v>72337.799999999988</v>
      </c>
      <c r="Y172" s="140">
        <f>Y195+Y242+Y181+Y510+Y532</f>
        <v>10000</v>
      </c>
      <c r="Z172" s="140">
        <f>Z195+Z242+Z181+Z510+Z532</f>
        <v>10000</v>
      </c>
      <c r="AA172" s="140">
        <f>SUM(T172:Z172)</f>
        <v>388968.21499999997</v>
      </c>
      <c r="AB172" s="141">
        <v>2024</v>
      </c>
      <c r="AC172" s="111"/>
      <c r="AD172" s="50"/>
    </row>
    <row r="173" spans="1:31" s="51" customFormat="1" ht="31.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229</v>
      </c>
      <c r="S173" s="41" t="s">
        <v>38</v>
      </c>
      <c r="T173" s="2">
        <f>T513+T200+T244</f>
        <v>58</v>
      </c>
      <c r="U173" s="44">
        <f>U513+U200+U244</f>
        <v>42</v>
      </c>
      <c r="V173" s="2">
        <f>V513+V200+V244</f>
        <v>7</v>
      </c>
      <c r="W173" s="2">
        <f>W513+W200+W244+W534</f>
        <v>17</v>
      </c>
      <c r="X173" s="2">
        <f>X513+X200+X244+X534</f>
        <v>18</v>
      </c>
      <c r="Y173" s="2">
        <f>Y513+Y200+Y244+Y534</f>
        <v>7</v>
      </c>
      <c r="Z173" s="2">
        <f>Z513+Z200+Z244+Z534</f>
        <v>7</v>
      </c>
      <c r="AA173" s="45">
        <f>SUM(T173:Z173)</f>
        <v>156</v>
      </c>
      <c r="AB173" s="41">
        <v>2024</v>
      </c>
      <c r="AC173" s="91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230</v>
      </c>
      <c r="S174" s="41" t="s">
        <v>52</v>
      </c>
      <c r="T174" s="4">
        <f>T513+T198+T243</f>
        <v>63</v>
      </c>
      <c r="U174" s="4">
        <f>U514+U198+U243</f>
        <v>42.2</v>
      </c>
      <c r="V174" s="4">
        <f>V514+V198+V243</f>
        <v>1.7000000000000002</v>
      </c>
      <c r="W174" s="4">
        <f>W514+W198+W243+W533</f>
        <v>11</v>
      </c>
      <c r="X174" s="4">
        <f>X514+X198+X243+X533</f>
        <v>28.2</v>
      </c>
      <c r="Y174" s="4">
        <f>Y514+Y198+Y243+Y533</f>
        <v>10</v>
      </c>
      <c r="Z174" s="4">
        <f>Z514+Z198+Z243+Z533</f>
        <v>10</v>
      </c>
      <c r="AA174" s="5">
        <f>SUM(T174:Z174)</f>
        <v>166.1</v>
      </c>
      <c r="AB174" s="41">
        <v>2024</v>
      </c>
      <c r="AC174" s="111"/>
      <c r="AD174" s="50"/>
    </row>
    <row r="175" spans="1:31" s="8" customFormat="1" ht="47.25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61" t="s">
        <v>122</v>
      </c>
      <c r="S175" s="153" t="s">
        <v>9</v>
      </c>
      <c r="T175" s="3">
        <f>((4338+39.6)+63)/13987*100</f>
        <v>31.748051762350755</v>
      </c>
      <c r="U175" s="3">
        <f>((4338+39.6)+T174+U174)/13987*100</f>
        <v>32.049760491885323</v>
      </c>
      <c r="V175" s="3">
        <f>((4338+39.6)+U174+V174+T174)/13987*100</f>
        <v>32.061914635018226</v>
      </c>
      <c r="W175" s="3">
        <f>((4338+39.6)+T174+V174+W174+U174)/13987*100</f>
        <v>32.140559090584112</v>
      </c>
      <c r="X175" s="3">
        <f>((4338+39.6)+T174+U174+W174+X174+V174)/13987*100</f>
        <v>32.342174876671194</v>
      </c>
      <c r="Y175" s="3">
        <f>((4338+39.6)+T174+U174+V174+X174+Y174+W174)/13987*100</f>
        <v>32.41366983627654</v>
      </c>
      <c r="Z175" s="3">
        <f>((4338+39.6)+T174+U174+V174+W174+Y174+Z174+X174)/13987*100</f>
        <v>32.485164795881886</v>
      </c>
      <c r="AA175" s="5">
        <f>Z175</f>
        <v>32.485164795881886</v>
      </c>
      <c r="AB175" s="41">
        <v>2024</v>
      </c>
      <c r="AC175" s="103"/>
      <c r="AD175" s="60"/>
    </row>
    <row r="176" spans="1:31" ht="47.2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5" t="s">
        <v>123</v>
      </c>
      <c r="S176" s="153" t="s">
        <v>9</v>
      </c>
      <c r="T176" s="3">
        <f>30/58*100</f>
        <v>51.724137931034484</v>
      </c>
      <c r="U176" s="3">
        <f>22/42*100</f>
        <v>52.380952380952387</v>
      </c>
      <c r="V176" s="3">
        <f>7/7*100</f>
        <v>100</v>
      </c>
      <c r="W176" s="3">
        <f>15/17*100</f>
        <v>88.235294117647058</v>
      </c>
      <c r="X176" s="4">
        <v>91</v>
      </c>
      <c r="Y176" s="4">
        <v>91</v>
      </c>
      <c r="Z176" s="4">
        <v>91</v>
      </c>
      <c r="AA176" s="5">
        <v>91</v>
      </c>
      <c r="AB176" s="41">
        <v>2024</v>
      </c>
      <c r="AC176" s="111"/>
    </row>
    <row r="177" spans="1:31" ht="46.9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 t="s">
        <v>254</v>
      </c>
      <c r="S177" s="153" t="s">
        <v>255</v>
      </c>
      <c r="T177" s="4">
        <v>0</v>
      </c>
      <c r="U177" s="4">
        <v>0</v>
      </c>
      <c r="V177" s="4">
        <v>0</v>
      </c>
      <c r="W177" s="4">
        <f>1.1*4*100%</f>
        <v>4.4000000000000004</v>
      </c>
      <c r="X177" s="4">
        <v>23.7</v>
      </c>
      <c r="Y177" s="4">
        <v>23.7</v>
      </c>
      <c r="Z177" s="4">
        <v>23.7</v>
      </c>
      <c r="AA177" s="5">
        <v>23.7</v>
      </c>
      <c r="AB177" s="41">
        <v>2024</v>
      </c>
      <c r="AC177" s="111"/>
    </row>
    <row r="178" spans="1:31" s="51" customFormat="1" ht="31.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 t="s">
        <v>124</v>
      </c>
      <c r="S178" s="41" t="s">
        <v>9</v>
      </c>
      <c r="T178" s="3">
        <f>27.6/336.9*100</f>
        <v>8.1923419412288521</v>
      </c>
      <c r="U178" s="3">
        <f>11.3/336.9*100</f>
        <v>3.3541110121697839</v>
      </c>
      <c r="V178" s="3">
        <f>2/336.9*100</f>
        <v>0.59364796675571385</v>
      </c>
      <c r="W178" s="3">
        <f>5.6/336.9*100</f>
        <v>1.6622143069159989</v>
      </c>
      <c r="X178" s="3">
        <v>43.1</v>
      </c>
      <c r="Y178" s="3">
        <v>43.1</v>
      </c>
      <c r="Z178" s="3">
        <v>43.1</v>
      </c>
      <c r="AA178" s="6">
        <v>43.1</v>
      </c>
      <c r="AB178" s="41">
        <v>2024</v>
      </c>
      <c r="AC178" s="111"/>
      <c r="AD178" s="50"/>
    </row>
    <row r="179" spans="1:31" s="51" customFormat="1" ht="50.45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152" t="s">
        <v>125</v>
      </c>
      <c r="S179" s="55" t="s">
        <v>41</v>
      </c>
      <c r="T179" s="56">
        <v>0</v>
      </c>
      <c r="U179" s="56">
        <v>0</v>
      </c>
      <c r="V179" s="56">
        <v>0</v>
      </c>
      <c r="W179" s="56">
        <v>1</v>
      </c>
      <c r="X179" s="56">
        <v>1</v>
      </c>
      <c r="Y179" s="56">
        <v>1</v>
      </c>
      <c r="Z179" s="56">
        <v>1</v>
      </c>
      <c r="AA179" s="57">
        <v>1</v>
      </c>
      <c r="AB179" s="58">
        <v>2024</v>
      </c>
      <c r="AC179" s="111"/>
      <c r="AD179" s="50"/>
    </row>
    <row r="180" spans="1:31" s="51" customFormat="1" ht="31.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 t="s">
        <v>72</v>
      </c>
      <c r="S180" s="41" t="s">
        <v>38</v>
      </c>
      <c r="T180" s="44">
        <v>0</v>
      </c>
      <c r="U180" s="44">
        <v>0</v>
      </c>
      <c r="V180" s="44">
        <f t="shared" ref="V180:Z180" si="62">V513</f>
        <v>0</v>
      </c>
      <c r="W180" s="44">
        <v>1</v>
      </c>
      <c r="X180" s="44">
        <v>2</v>
      </c>
      <c r="Y180" s="44">
        <f t="shared" si="62"/>
        <v>2</v>
      </c>
      <c r="Z180" s="44">
        <f t="shared" si="62"/>
        <v>2</v>
      </c>
      <c r="AA180" s="49">
        <f>SUM(T180:Z180)</f>
        <v>7</v>
      </c>
      <c r="AB180" s="41">
        <v>2024</v>
      </c>
      <c r="AC180" s="117"/>
      <c r="AD180" s="113"/>
      <c r="AE180" s="113"/>
    </row>
    <row r="181" spans="1:31" s="51" customFormat="1" ht="31.5" x14ac:dyDescent="0.25">
      <c r="A181" s="54"/>
      <c r="B181" s="54"/>
      <c r="C181" s="54"/>
      <c r="D181" s="54" t="s">
        <v>18</v>
      </c>
      <c r="E181" s="54" t="s">
        <v>21</v>
      </c>
      <c r="F181" s="54" t="s">
        <v>18</v>
      </c>
      <c r="G181" s="54" t="s">
        <v>22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43</v>
      </c>
      <c r="N181" s="54" t="s">
        <v>43</v>
      </c>
      <c r="O181" s="54" t="s">
        <v>43</v>
      </c>
      <c r="P181" s="54" t="s">
        <v>43</v>
      </c>
      <c r="Q181" s="54" t="s">
        <v>43</v>
      </c>
      <c r="R181" s="152" t="s">
        <v>258</v>
      </c>
      <c r="S181" s="58" t="s">
        <v>0</v>
      </c>
      <c r="T181" s="59">
        <f t="shared" ref="T181:Y181" si="63">T183+T185+T187+T189</f>
        <v>1307</v>
      </c>
      <c r="U181" s="59">
        <f t="shared" si="63"/>
        <v>0</v>
      </c>
      <c r="V181" s="59">
        <f t="shared" si="63"/>
        <v>0</v>
      </c>
      <c r="W181" s="59">
        <f t="shared" si="63"/>
        <v>0</v>
      </c>
      <c r="X181" s="59">
        <f t="shared" si="63"/>
        <v>0</v>
      </c>
      <c r="Y181" s="59">
        <f t="shared" si="63"/>
        <v>0</v>
      </c>
      <c r="Z181" s="59">
        <f t="shared" ref="Z181" si="64">Z183+Z185+Z187+Z189</f>
        <v>0</v>
      </c>
      <c r="AA181" s="59">
        <f>SUM(T181:Y181)</f>
        <v>1307</v>
      </c>
      <c r="AB181" s="58">
        <v>2018</v>
      </c>
      <c r="AC181" s="111"/>
      <c r="AD181" s="113"/>
      <c r="AE181" s="113"/>
    </row>
    <row r="182" spans="1:31" s="51" customFormat="1" ht="47.2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78" t="s">
        <v>271</v>
      </c>
      <c r="S182" s="52" t="s">
        <v>38</v>
      </c>
      <c r="T182" s="44">
        <f>T184+T186+T188+T190</f>
        <v>39</v>
      </c>
      <c r="U182" s="44">
        <f t="shared" ref="U182:Y182" si="65">U184+U186+U188+U190</f>
        <v>0</v>
      </c>
      <c r="V182" s="44">
        <f t="shared" si="65"/>
        <v>0</v>
      </c>
      <c r="W182" s="44">
        <f t="shared" si="65"/>
        <v>0</v>
      </c>
      <c r="X182" s="44">
        <f t="shared" si="65"/>
        <v>0</v>
      </c>
      <c r="Y182" s="44">
        <f t="shared" si="65"/>
        <v>0</v>
      </c>
      <c r="Z182" s="44">
        <f t="shared" ref="Z182" si="66">Z184+Z186+Z188+Z190</f>
        <v>0</v>
      </c>
      <c r="AA182" s="49">
        <f>T182</f>
        <v>39</v>
      </c>
      <c r="AB182" s="41">
        <v>2018</v>
      </c>
      <c r="AC182" s="111"/>
      <c r="AD182" s="113"/>
      <c r="AE182" s="113"/>
    </row>
    <row r="183" spans="1:31" s="51" customFormat="1" ht="30" customHeight="1" x14ac:dyDescent="0.25">
      <c r="A183" s="54" t="s">
        <v>18</v>
      </c>
      <c r="B183" s="54" t="s">
        <v>18</v>
      </c>
      <c r="C183" s="54" t="s">
        <v>22</v>
      </c>
      <c r="D183" s="54" t="s">
        <v>18</v>
      </c>
      <c r="E183" s="54" t="s">
        <v>21</v>
      </c>
      <c r="F183" s="54" t="s">
        <v>18</v>
      </c>
      <c r="G183" s="54" t="s">
        <v>22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43</v>
      </c>
      <c r="N183" s="54" t="s">
        <v>43</v>
      </c>
      <c r="O183" s="54" t="s">
        <v>43</v>
      </c>
      <c r="P183" s="54" t="s">
        <v>43</v>
      </c>
      <c r="Q183" s="54" t="s">
        <v>43</v>
      </c>
      <c r="R183" s="152" t="s">
        <v>258</v>
      </c>
      <c r="S183" s="55" t="s">
        <v>0</v>
      </c>
      <c r="T183" s="1">
        <v>474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59">
        <f>SUM(T183:Y183)</f>
        <v>474</v>
      </c>
      <c r="AB183" s="58">
        <v>2018</v>
      </c>
      <c r="AC183" s="121"/>
      <c r="AD183" s="114"/>
      <c r="AE183" s="114"/>
    </row>
    <row r="184" spans="1:31" s="51" customFormat="1" ht="6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272</v>
      </c>
      <c r="S184" s="52" t="s">
        <v>38</v>
      </c>
      <c r="T184" s="44">
        <v>15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9">
        <f>T184+U184+V184+W184+X184</f>
        <v>15</v>
      </c>
      <c r="AB184" s="41">
        <v>2018</v>
      </c>
      <c r="AC184" s="111"/>
      <c r="AD184" s="50"/>
    </row>
    <row r="185" spans="1:31" s="136" customFormat="1" ht="31.5" x14ac:dyDescent="0.25">
      <c r="A185" s="54" t="s">
        <v>18</v>
      </c>
      <c r="B185" s="54" t="s">
        <v>18</v>
      </c>
      <c r="C185" s="54" t="s">
        <v>24</v>
      </c>
      <c r="D185" s="54" t="s">
        <v>18</v>
      </c>
      <c r="E185" s="54" t="s">
        <v>21</v>
      </c>
      <c r="F185" s="54" t="s">
        <v>18</v>
      </c>
      <c r="G185" s="54" t="s">
        <v>22</v>
      </c>
      <c r="H185" s="54" t="s">
        <v>19</v>
      </c>
      <c r="I185" s="54" t="s">
        <v>24</v>
      </c>
      <c r="J185" s="54" t="s">
        <v>18</v>
      </c>
      <c r="K185" s="54" t="s">
        <v>18</v>
      </c>
      <c r="L185" s="54" t="s">
        <v>20</v>
      </c>
      <c r="M185" s="54" t="s">
        <v>43</v>
      </c>
      <c r="N185" s="54" t="s">
        <v>43</v>
      </c>
      <c r="O185" s="54" t="s">
        <v>43</v>
      </c>
      <c r="P185" s="54" t="s">
        <v>43</v>
      </c>
      <c r="Q185" s="54" t="s">
        <v>43</v>
      </c>
      <c r="R185" s="152" t="s">
        <v>258</v>
      </c>
      <c r="S185" s="55" t="s">
        <v>0</v>
      </c>
      <c r="T185" s="1">
        <f>0+126+400-100</f>
        <v>426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59">
        <f t="shared" ref="AA185:AA190" si="67">SUM(T185:Y185)</f>
        <v>426</v>
      </c>
      <c r="AB185" s="58">
        <v>2018</v>
      </c>
      <c r="AC185" s="134"/>
      <c r="AD185" s="135"/>
      <c r="AE185" s="135"/>
    </row>
    <row r="186" spans="1:31" s="51" customFormat="1" ht="6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273</v>
      </c>
      <c r="S186" s="52" t="s">
        <v>38</v>
      </c>
      <c r="T186" s="44">
        <v>4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9">
        <f t="shared" si="67"/>
        <v>4</v>
      </c>
      <c r="AB186" s="41">
        <v>2018</v>
      </c>
      <c r="AC186" s="112"/>
      <c r="AD186" s="113"/>
    </row>
    <row r="187" spans="1:31" s="51" customFormat="1" ht="31.5" x14ac:dyDescent="0.25">
      <c r="A187" s="54" t="s">
        <v>18</v>
      </c>
      <c r="B187" s="54" t="s">
        <v>18</v>
      </c>
      <c r="C187" s="54" t="s">
        <v>21</v>
      </c>
      <c r="D187" s="54" t="s">
        <v>18</v>
      </c>
      <c r="E187" s="54" t="s">
        <v>21</v>
      </c>
      <c r="F187" s="54" t="s">
        <v>18</v>
      </c>
      <c r="G187" s="54" t="s">
        <v>22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43</v>
      </c>
      <c r="N187" s="54" t="s">
        <v>43</v>
      </c>
      <c r="O187" s="54" t="s">
        <v>43</v>
      </c>
      <c r="P187" s="54" t="s">
        <v>43</v>
      </c>
      <c r="Q187" s="54" t="s">
        <v>43</v>
      </c>
      <c r="R187" s="152" t="s">
        <v>258</v>
      </c>
      <c r="S187" s="55" t="s">
        <v>0</v>
      </c>
      <c r="T187" s="1">
        <v>250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59">
        <f t="shared" si="67"/>
        <v>250</v>
      </c>
      <c r="AB187" s="58">
        <v>2018</v>
      </c>
      <c r="AC187" s="33"/>
      <c r="AD187" s="113"/>
      <c r="AE187" s="113"/>
    </row>
    <row r="188" spans="1:31" s="51" customFormat="1" ht="63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 t="s">
        <v>274</v>
      </c>
      <c r="S188" s="52" t="s">
        <v>38</v>
      </c>
      <c r="T188" s="44">
        <v>16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  <c r="Z188" s="44">
        <v>0</v>
      </c>
      <c r="AA188" s="49">
        <f t="shared" si="67"/>
        <v>16</v>
      </c>
      <c r="AB188" s="41">
        <v>2018</v>
      </c>
      <c r="AC188" s="111"/>
      <c r="AD188" s="50"/>
    </row>
    <row r="189" spans="1:31" s="51" customFormat="1" ht="31.5" x14ac:dyDescent="0.25">
      <c r="A189" s="54" t="s">
        <v>18</v>
      </c>
      <c r="B189" s="54" t="s">
        <v>18</v>
      </c>
      <c r="C189" s="54" t="s">
        <v>25</v>
      </c>
      <c r="D189" s="54" t="s">
        <v>18</v>
      </c>
      <c r="E189" s="54" t="s">
        <v>21</v>
      </c>
      <c r="F189" s="54" t="s">
        <v>18</v>
      </c>
      <c r="G189" s="54" t="s">
        <v>22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43</v>
      </c>
      <c r="N189" s="54" t="s">
        <v>43</v>
      </c>
      <c r="O189" s="54" t="s">
        <v>43</v>
      </c>
      <c r="P189" s="54" t="s">
        <v>43</v>
      </c>
      <c r="Q189" s="54" t="s">
        <v>43</v>
      </c>
      <c r="R189" s="152" t="s">
        <v>258</v>
      </c>
      <c r="S189" s="55" t="s">
        <v>0</v>
      </c>
      <c r="T189" s="1">
        <f>480-430+100+55-48</f>
        <v>157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59">
        <f t="shared" si="67"/>
        <v>157</v>
      </c>
      <c r="AB189" s="58">
        <v>2018</v>
      </c>
      <c r="AC189" s="33"/>
      <c r="AD189" s="113"/>
      <c r="AE189" s="113"/>
    </row>
    <row r="190" spans="1:31" s="51" customFormat="1" ht="63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 t="s">
        <v>275</v>
      </c>
      <c r="S190" s="52" t="s">
        <v>38</v>
      </c>
      <c r="T190" s="44">
        <v>4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9">
        <f t="shared" si="67"/>
        <v>4</v>
      </c>
      <c r="AB190" s="41">
        <v>2018</v>
      </c>
      <c r="AC190" s="111"/>
      <c r="AD190" s="50"/>
    </row>
    <row r="191" spans="1:31" s="51" customFormat="1" ht="47.25" x14ac:dyDescent="0.2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152" t="s">
        <v>128</v>
      </c>
      <c r="S191" s="55" t="s">
        <v>41</v>
      </c>
      <c r="T191" s="56">
        <v>0</v>
      </c>
      <c r="U191" s="56">
        <v>0</v>
      </c>
      <c r="V191" s="56">
        <v>0</v>
      </c>
      <c r="W191" s="56">
        <v>0</v>
      </c>
      <c r="X191" s="56">
        <v>1</v>
      </c>
      <c r="Y191" s="56">
        <v>1</v>
      </c>
      <c r="Z191" s="56">
        <v>1</v>
      </c>
      <c r="AA191" s="57">
        <v>1</v>
      </c>
      <c r="AB191" s="58">
        <v>2024</v>
      </c>
      <c r="AC191" s="111"/>
      <c r="AD191" s="50"/>
    </row>
    <row r="192" spans="1:31" ht="31.1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 t="s">
        <v>77</v>
      </c>
      <c r="S192" s="41" t="s">
        <v>38</v>
      </c>
      <c r="T192" s="2">
        <v>0</v>
      </c>
      <c r="U192" s="2">
        <v>0</v>
      </c>
      <c r="V192" s="2">
        <v>0</v>
      </c>
      <c r="W192" s="44">
        <v>0</v>
      </c>
      <c r="X192" s="2">
        <v>1</v>
      </c>
      <c r="Y192" s="2">
        <v>2</v>
      </c>
      <c r="Z192" s="2">
        <v>2</v>
      </c>
      <c r="AA192" s="49">
        <f>SUM(T192:Z192)</f>
        <v>5</v>
      </c>
      <c r="AB192" s="41">
        <v>2024</v>
      </c>
      <c r="AD192" s="104"/>
      <c r="AE192" s="104"/>
    </row>
    <row r="193" spans="1:31" ht="31.9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152" t="s">
        <v>129</v>
      </c>
      <c r="S193" s="55" t="s">
        <v>41</v>
      </c>
      <c r="T193" s="56">
        <v>0</v>
      </c>
      <c r="U193" s="56">
        <v>0</v>
      </c>
      <c r="V193" s="56">
        <v>0</v>
      </c>
      <c r="W193" s="56">
        <v>1</v>
      </c>
      <c r="X193" s="56">
        <v>1</v>
      </c>
      <c r="Y193" s="56">
        <v>1</v>
      </c>
      <c r="Z193" s="56">
        <v>1</v>
      </c>
      <c r="AA193" s="57">
        <v>1</v>
      </c>
      <c r="AB193" s="58">
        <v>2024</v>
      </c>
      <c r="AD193" s="104"/>
      <c r="AE193" s="104"/>
    </row>
    <row r="194" spans="1:31" s="76" customFormat="1" ht="47.25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40" t="s">
        <v>130</v>
      </c>
      <c r="S194" s="62" t="s">
        <v>38</v>
      </c>
      <c r="T194" s="2">
        <v>0</v>
      </c>
      <c r="U194" s="2">
        <v>0</v>
      </c>
      <c r="V194" s="2">
        <v>0</v>
      </c>
      <c r="W194" s="2">
        <v>2</v>
      </c>
      <c r="X194" s="2">
        <v>1</v>
      </c>
      <c r="Y194" s="2">
        <v>2</v>
      </c>
      <c r="Z194" s="2">
        <v>2</v>
      </c>
      <c r="AA194" s="45">
        <f>SUM(T194:Z194)</f>
        <v>7</v>
      </c>
      <c r="AB194" s="41">
        <v>2024</v>
      </c>
      <c r="AC194" s="103"/>
    </row>
    <row r="195" spans="1:31" s="76" customFormat="1" ht="63" customHeight="1" x14ac:dyDescent="0.25">
      <c r="A195" s="54"/>
      <c r="B195" s="54"/>
      <c r="C195" s="54"/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18</v>
      </c>
      <c r="N195" s="54" t="s">
        <v>18</v>
      </c>
      <c r="O195" s="54" t="s">
        <v>18</v>
      </c>
      <c r="P195" s="54" t="s">
        <v>18</v>
      </c>
      <c r="Q195" s="54" t="s">
        <v>18</v>
      </c>
      <c r="R195" s="168" t="s">
        <v>131</v>
      </c>
      <c r="S195" s="58" t="s">
        <v>0</v>
      </c>
      <c r="T195" s="59">
        <f t="shared" ref="T195:Z195" si="68">T202+T210+T218+T226+T234</f>
        <v>123487.5</v>
      </c>
      <c r="U195" s="59">
        <f t="shared" si="68"/>
        <v>86341.199999999983</v>
      </c>
      <c r="V195" s="59">
        <f t="shared" si="68"/>
        <v>569.79999999999995</v>
      </c>
      <c r="W195" s="59">
        <f t="shared" si="68"/>
        <v>112.2</v>
      </c>
      <c r="X195" s="59">
        <f>X202+X210+X218+X226+X234</f>
        <v>33526.400000000001</v>
      </c>
      <c r="Y195" s="59">
        <f t="shared" si="68"/>
        <v>0</v>
      </c>
      <c r="Z195" s="59">
        <f t="shared" si="68"/>
        <v>0</v>
      </c>
      <c r="AA195" s="59">
        <f>SUM(T195:Z195)</f>
        <v>244037.09999999998</v>
      </c>
      <c r="AB195" s="58">
        <v>2022</v>
      </c>
      <c r="AC195" s="108"/>
    </row>
    <row r="196" spans="1:31" s="76" customFormat="1" ht="19.899999999999999" hidden="1" customHeight="1" x14ac:dyDescent="0.25">
      <c r="A196" s="54"/>
      <c r="B196" s="54"/>
      <c r="C196" s="54"/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20</v>
      </c>
      <c r="P196" s="54" t="s">
        <v>19</v>
      </c>
      <c r="Q196" s="54" t="s">
        <v>39</v>
      </c>
      <c r="R196" s="168"/>
      <c r="S196" s="55" t="s">
        <v>0</v>
      </c>
      <c r="T196" s="1">
        <f t="shared" ref="T196:Z196" si="69">T204+T212+T220+T228</f>
        <v>0</v>
      </c>
      <c r="U196" s="1">
        <f t="shared" si="69"/>
        <v>18179.999999999996</v>
      </c>
      <c r="V196" s="1">
        <f t="shared" si="69"/>
        <v>0</v>
      </c>
      <c r="W196" s="1">
        <f t="shared" si="69"/>
        <v>0</v>
      </c>
      <c r="X196" s="1">
        <f t="shared" si="69"/>
        <v>6146.5000000000009</v>
      </c>
      <c r="Y196" s="1">
        <f t="shared" si="69"/>
        <v>0</v>
      </c>
      <c r="Z196" s="1">
        <f t="shared" si="69"/>
        <v>0</v>
      </c>
      <c r="AA196" s="59">
        <f>T196+U196+V196+W196+X196+Y196</f>
        <v>24326.499999999996</v>
      </c>
      <c r="AB196" s="58">
        <v>2023</v>
      </c>
      <c r="AC196" s="103"/>
    </row>
    <row r="197" spans="1:31" s="76" customFormat="1" ht="19.899999999999999" hidden="1" customHeight="1" x14ac:dyDescent="0.25">
      <c r="A197" s="54"/>
      <c r="B197" s="54"/>
      <c r="C197" s="54"/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18</v>
      </c>
      <c r="N197" s="54" t="s">
        <v>18</v>
      </c>
      <c r="O197" s="54" t="s">
        <v>18</v>
      </c>
      <c r="P197" s="54" t="s">
        <v>18</v>
      </c>
      <c r="Q197" s="54" t="s">
        <v>18</v>
      </c>
      <c r="R197" s="168"/>
      <c r="S197" s="55" t="s">
        <v>0</v>
      </c>
      <c r="T197" s="1">
        <f t="shared" ref="T197:Z197" si="70">T206+T214+T222+T230</f>
        <v>0</v>
      </c>
      <c r="U197" s="1">
        <f t="shared" si="70"/>
        <v>896.59999999999991</v>
      </c>
      <c r="V197" s="1">
        <f t="shared" si="70"/>
        <v>569.79999999999995</v>
      </c>
      <c r="W197" s="1">
        <f t="shared" si="70"/>
        <v>112.2</v>
      </c>
      <c r="X197" s="1">
        <f t="shared" si="70"/>
        <v>2061.6999999999998</v>
      </c>
      <c r="Y197" s="1">
        <f t="shared" si="70"/>
        <v>0</v>
      </c>
      <c r="Z197" s="1">
        <f t="shared" si="70"/>
        <v>0</v>
      </c>
      <c r="AA197" s="59">
        <f>T197+U197+V197+W197+X197+Y197</f>
        <v>3640.2999999999997</v>
      </c>
      <c r="AB197" s="58">
        <v>2023</v>
      </c>
      <c r="AC197" s="103"/>
    </row>
    <row r="198" spans="1:31" s="76" customFormat="1" ht="63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177</v>
      </c>
      <c r="S198" s="62" t="s">
        <v>52</v>
      </c>
      <c r="T198" s="3">
        <f>T238</f>
        <v>58.6</v>
      </c>
      <c r="U198" s="3">
        <f t="shared" ref="U198:Z198" si="71">U238+U231+U223+U215+U207</f>
        <v>38.200000000000003</v>
      </c>
      <c r="V198" s="3">
        <f t="shared" si="71"/>
        <v>0</v>
      </c>
      <c r="W198" s="3">
        <f t="shared" si="71"/>
        <v>0</v>
      </c>
      <c r="X198" s="3">
        <f>X238+X231+X223+X215+X207</f>
        <v>8.8000000000000007</v>
      </c>
      <c r="Y198" s="3">
        <f t="shared" si="71"/>
        <v>0</v>
      </c>
      <c r="Z198" s="3">
        <f t="shared" si="71"/>
        <v>0</v>
      </c>
      <c r="AA198" s="6">
        <f>SUM(T198:Z198)</f>
        <v>105.60000000000001</v>
      </c>
      <c r="AB198" s="41">
        <v>2022</v>
      </c>
      <c r="AC198" s="103"/>
    </row>
    <row r="199" spans="1:31" s="76" customFormat="1" ht="31.15" hidden="1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9" t="s">
        <v>51</v>
      </c>
      <c r="S199" s="62"/>
      <c r="T199" s="3">
        <f>T239</f>
        <v>28</v>
      </c>
      <c r="U199" s="3"/>
      <c r="V199" s="3"/>
      <c r="W199" s="3"/>
      <c r="X199" s="3"/>
      <c r="Y199" s="3"/>
      <c r="Z199" s="3"/>
      <c r="AA199" s="6"/>
      <c r="AB199" s="41">
        <v>2020</v>
      </c>
      <c r="AC199" s="103"/>
    </row>
    <row r="200" spans="1:31" s="76" customFormat="1" ht="31.5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80" t="s">
        <v>178</v>
      </c>
      <c r="S200" s="62" t="s">
        <v>38</v>
      </c>
      <c r="T200" s="44">
        <f>T239</f>
        <v>28</v>
      </c>
      <c r="U200" s="44">
        <f>U208+U216+U224+U232+U239</f>
        <v>20</v>
      </c>
      <c r="V200" s="44">
        <f>V208+V216+V224+V232</f>
        <v>0</v>
      </c>
      <c r="W200" s="44">
        <f>W208+W216+W224+W232</f>
        <v>0</v>
      </c>
      <c r="X200" s="44">
        <f>X208+X216+X224+X232</f>
        <v>6</v>
      </c>
      <c r="Y200" s="44">
        <f>Y208+Y216+Y224+Y232</f>
        <v>0</v>
      </c>
      <c r="Z200" s="44">
        <f>Z208+Z216+Z224+Z232</f>
        <v>0</v>
      </c>
      <c r="AA200" s="49">
        <f>SUM(T200:Z200)</f>
        <v>54</v>
      </c>
      <c r="AB200" s="41">
        <v>2022</v>
      </c>
      <c r="AC200" s="103"/>
      <c r="AD200" s="81"/>
    </row>
    <row r="201" spans="1:31" s="133" customFormat="1" ht="47.2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78" t="s">
        <v>339</v>
      </c>
      <c r="S201" s="52" t="s">
        <v>38</v>
      </c>
      <c r="T201" s="44">
        <v>0</v>
      </c>
      <c r="U201" s="44">
        <f>U209+U217+U225+U233</f>
        <v>20</v>
      </c>
      <c r="V201" s="44">
        <f>V209+V217+V225+V233</f>
        <v>14</v>
      </c>
      <c r="W201" s="44">
        <f>W209+W217+W225+W233</f>
        <v>2</v>
      </c>
      <c r="X201" s="44">
        <f>X209+X217+X225+X233</f>
        <v>5</v>
      </c>
      <c r="Y201" s="44">
        <v>0</v>
      </c>
      <c r="Z201" s="44">
        <v>0</v>
      </c>
      <c r="AA201" s="49">
        <f>SUM(T201:Z201)</f>
        <v>41</v>
      </c>
      <c r="AB201" s="41">
        <v>2022</v>
      </c>
      <c r="AC201" s="111"/>
      <c r="AD201" s="132"/>
    </row>
    <row r="202" spans="1:31" s="76" customFormat="1" x14ac:dyDescent="0.25">
      <c r="A202" s="54" t="s">
        <v>18</v>
      </c>
      <c r="B202" s="54" t="s">
        <v>18</v>
      </c>
      <c r="C202" s="54" t="s">
        <v>22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18</v>
      </c>
      <c r="N202" s="54" t="s">
        <v>18</v>
      </c>
      <c r="O202" s="54" t="s">
        <v>18</v>
      </c>
      <c r="P202" s="54" t="s">
        <v>18</v>
      </c>
      <c r="Q202" s="54" t="s">
        <v>18</v>
      </c>
      <c r="R202" s="168" t="s">
        <v>131</v>
      </c>
      <c r="S202" s="159" t="s">
        <v>0</v>
      </c>
      <c r="T202" s="59">
        <f>SUM(T204:T206)</f>
        <v>0</v>
      </c>
      <c r="U202" s="59">
        <f>SUM(U203:U206)</f>
        <v>26850.299999999996</v>
      </c>
      <c r="V202" s="59">
        <f t="shared" ref="V202:Z202" si="72">SUM(V203:V206)</f>
        <v>48.800000000000011</v>
      </c>
      <c r="W202" s="59">
        <f t="shared" si="72"/>
        <v>112.2</v>
      </c>
      <c r="X202" s="59">
        <f t="shared" si="72"/>
        <v>9375.5999999999985</v>
      </c>
      <c r="Y202" s="59">
        <f t="shared" si="72"/>
        <v>0</v>
      </c>
      <c r="Z202" s="59">
        <f t="shared" si="72"/>
        <v>0</v>
      </c>
      <c r="AA202" s="59">
        <f>SUM(T202:Z202)</f>
        <v>36386.899999999994</v>
      </c>
      <c r="AB202" s="58">
        <v>2022</v>
      </c>
      <c r="AC202" s="103"/>
      <c r="AD202" s="81"/>
    </row>
    <row r="203" spans="1:31" s="76" customFormat="1" x14ac:dyDescent="0.25">
      <c r="A203" s="54" t="s">
        <v>18</v>
      </c>
      <c r="B203" s="54" t="s">
        <v>18</v>
      </c>
      <c r="C203" s="54" t="s">
        <v>22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19</v>
      </c>
      <c r="N203" s="54" t="s">
        <v>18</v>
      </c>
      <c r="O203" s="54" t="s">
        <v>169</v>
      </c>
      <c r="P203" s="54" t="s">
        <v>21</v>
      </c>
      <c r="Q203" s="54" t="s">
        <v>25</v>
      </c>
      <c r="R203" s="168"/>
      <c r="S203" s="160"/>
      <c r="T203" s="1">
        <v>0</v>
      </c>
      <c r="U203" s="1">
        <f>16800.1+4329.1</f>
        <v>21129.199999999997</v>
      </c>
      <c r="V203" s="1">
        <v>0</v>
      </c>
      <c r="W203" s="1">
        <v>0</v>
      </c>
      <c r="X203" s="1">
        <v>5758.9</v>
      </c>
      <c r="Y203" s="1">
        <v>0</v>
      </c>
      <c r="Z203" s="1">
        <v>0</v>
      </c>
      <c r="AA203" s="59">
        <f t="shared" ref="AA203" si="73">SUM(T203:Z203)</f>
        <v>26888.1</v>
      </c>
      <c r="AB203" s="58">
        <v>2022</v>
      </c>
      <c r="AC203" s="103"/>
      <c r="AD203" s="81"/>
    </row>
    <row r="204" spans="1:31" s="76" customFormat="1" x14ac:dyDescent="0.25">
      <c r="A204" s="54" t="s">
        <v>18</v>
      </c>
      <c r="B204" s="54" t="s">
        <v>18</v>
      </c>
      <c r="C204" s="54" t="s">
        <v>22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37</v>
      </c>
      <c r="N204" s="54" t="s">
        <v>18</v>
      </c>
      <c r="O204" s="54" t="s">
        <v>169</v>
      </c>
      <c r="P204" s="54" t="s">
        <v>21</v>
      </c>
      <c r="Q204" s="54" t="s">
        <v>25</v>
      </c>
      <c r="R204" s="168"/>
      <c r="S204" s="160"/>
      <c r="T204" s="1">
        <v>0</v>
      </c>
      <c r="U204" s="1">
        <f>4199.9+2224.5-291-681.9</f>
        <v>5451.5</v>
      </c>
      <c r="V204" s="1">
        <f>2529.4-2529.4</f>
        <v>0</v>
      </c>
      <c r="W204" s="1">
        <f>2800-2800</f>
        <v>0</v>
      </c>
      <c r="X204" s="1">
        <f>1439.7-14.3</f>
        <v>1425.4</v>
      </c>
      <c r="Y204" s="1">
        <f t="shared" ref="Y204:Z204" si="74">2800-2800</f>
        <v>0</v>
      </c>
      <c r="Z204" s="1">
        <f t="shared" si="74"/>
        <v>0</v>
      </c>
      <c r="AA204" s="59">
        <f>SUM(T204:Z204)</f>
        <v>6876.9</v>
      </c>
      <c r="AB204" s="58">
        <v>2022</v>
      </c>
      <c r="AC204" s="103"/>
      <c r="AD204" s="81"/>
    </row>
    <row r="205" spans="1:31" s="76" customFormat="1" x14ac:dyDescent="0.25">
      <c r="A205" s="54" t="s">
        <v>18</v>
      </c>
      <c r="B205" s="54" t="s">
        <v>18</v>
      </c>
      <c r="C205" s="54" t="s">
        <v>22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18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8"/>
      <c r="S205" s="160"/>
      <c r="T205" s="1">
        <v>0</v>
      </c>
      <c r="U205" s="1">
        <v>0</v>
      </c>
      <c r="V205" s="1">
        <v>0</v>
      </c>
      <c r="W205" s="1">
        <v>0</v>
      </c>
      <c r="X205" s="1">
        <f>154.1-24.5</f>
        <v>129.6</v>
      </c>
      <c r="Y205" s="1">
        <v>0</v>
      </c>
      <c r="Z205" s="1">
        <v>0</v>
      </c>
      <c r="AA205" s="59">
        <f>SUM(T205:Z205)</f>
        <v>129.6</v>
      </c>
      <c r="AB205" s="58">
        <v>2022</v>
      </c>
      <c r="AC205" s="103"/>
      <c r="AD205" s="81"/>
    </row>
    <row r="206" spans="1:31" s="76" customFormat="1" x14ac:dyDescent="0.25">
      <c r="A206" s="54" t="s">
        <v>18</v>
      </c>
      <c r="B206" s="54" t="s">
        <v>18</v>
      </c>
      <c r="C206" s="54" t="s">
        <v>22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43</v>
      </c>
      <c r="N206" s="54" t="s">
        <v>43</v>
      </c>
      <c r="O206" s="54" t="s">
        <v>43</v>
      </c>
      <c r="P206" s="54" t="s">
        <v>43</v>
      </c>
      <c r="Q206" s="54" t="s">
        <v>43</v>
      </c>
      <c r="R206" s="168"/>
      <c r="S206" s="161"/>
      <c r="T206" s="1">
        <v>0</v>
      </c>
      <c r="U206" s="1">
        <f>164.3-164.3+200+449.4+50.8-371.3-59.3</f>
        <v>269.59999999999991</v>
      </c>
      <c r="V206" s="1">
        <f>270.6-221.8</f>
        <v>48.800000000000011</v>
      </c>
      <c r="W206" s="1">
        <f>0+160-47.8</f>
        <v>112.2</v>
      </c>
      <c r="X206" s="1">
        <f>50+2011.7</f>
        <v>2061.6999999999998</v>
      </c>
      <c r="Y206" s="1">
        <v>0</v>
      </c>
      <c r="Z206" s="1">
        <v>0</v>
      </c>
      <c r="AA206" s="59">
        <f t="shared" ref="AA206" si="75">SUM(T206:Z206)</f>
        <v>2492.2999999999997</v>
      </c>
      <c r="AB206" s="58">
        <v>2022</v>
      </c>
      <c r="AC206" s="103"/>
      <c r="AD206" s="81"/>
    </row>
    <row r="207" spans="1:31" s="76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282</v>
      </c>
      <c r="S207" s="62" t="s">
        <v>42</v>
      </c>
      <c r="T207" s="3">
        <v>0</v>
      </c>
      <c r="U207" s="3">
        <v>11.6</v>
      </c>
      <c r="V207" s="3">
        <f>6.8-6.8</f>
        <v>0</v>
      </c>
      <c r="W207" s="3">
        <v>0</v>
      </c>
      <c r="X207" s="3">
        <v>2.2000000000000002</v>
      </c>
      <c r="Y207" s="3">
        <v>0</v>
      </c>
      <c r="Z207" s="3">
        <v>0</v>
      </c>
      <c r="AA207" s="6">
        <f>SUM(T207:Z207)</f>
        <v>13.8</v>
      </c>
      <c r="AB207" s="41">
        <v>2022</v>
      </c>
      <c r="AC207" s="103"/>
    </row>
    <row r="208" spans="1:31" s="76" customFormat="1" ht="47.25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0" t="s">
        <v>283</v>
      </c>
      <c r="S208" s="62" t="s">
        <v>38</v>
      </c>
      <c r="T208" s="44">
        <v>0</v>
      </c>
      <c r="U208" s="44">
        <v>8</v>
      </c>
      <c r="V208" s="44">
        <f>3-3</f>
        <v>0</v>
      </c>
      <c r="W208" s="44">
        <v>0</v>
      </c>
      <c r="X208" s="44">
        <v>1</v>
      </c>
      <c r="Y208" s="44">
        <v>0</v>
      </c>
      <c r="Z208" s="44">
        <v>0</v>
      </c>
      <c r="AA208" s="49">
        <f>SUM(T208:Z208)</f>
        <v>9</v>
      </c>
      <c r="AB208" s="41">
        <v>2022</v>
      </c>
      <c r="AC208" s="103"/>
      <c r="AD208" s="81"/>
    </row>
    <row r="209" spans="1:30" s="133" customFormat="1" ht="63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8" t="s">
        <v>359</v>
      </c>
      <c r="S209" s="52" t="s">
        <v>38</v>
      </c>
      <c r="T209" s="44">
        <v>0</v>
      </c>
      <c r="U209" s="44">
        <v>8</v>
      </c>
      <c r="V209" s="44">
        <v>5</v>
      </c>
      <c r="W209" s="44">
        <v>2</v>
      </c>
      <c r="X209" s="44">
        <v>0</v>
      </c>
      <c r="Y209" s="44">
        <v>0</v>
      </c>
      <c r="Z209" s="44">
        <v>0</v>
      </c>
      <c r="AA209" s="49">
        <f>SUM(T209:Z209)</f>
        <v>15</v>
      </c>
      <c r="AB209" s="41">
        <v>2021</v>
      </c>
      <c r="AC209" s="111"/>
      <c r="AD209" s="132"/>
    </row>
    <row r="210" spans="1:30" s="76" customFormat="1" x14ac:dyDescent="0.25">
      <c r="A210" s="54" t="s">
        <v>18</v>
      </c>
      <c r="B210" s="54" t="s">
        <v>18</v>
      </c>
      <c r="C210" s="54" t="s">
        <v>24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18</v>
      </c>
      <c r="N210" s="54" t="s">
        <v>18</v>
      </c>
      <c r="O210" s="54" t="s">
        <v>18</v>
      </c>
      <c r="P210" s="54" t="s">
        <v>18</v>
      </c>
      <c r="Q210" s="54" t="s">
        <v>18</v>
      </c>
      <c r="R210" s="168" t="s">
        <v>131</v>
      </c>
      <c r="S210" s="159" t="s">
        <v>0</v>
      </c>
      <c r="T210" s="59">
        <f>T212+T214</f>
        <v>0</v>
      </c>
      <c r="U210" s="59">
        <f>SUM(U211:U214)</f>
        <v>22882.399999999998</v>
      </c>
      <c r="V210" s="59">
        <f t="shared" ref="V210:X210" si="76">SUM(V211:V214)</f>
        <v>0</v>
      </c>
      <c r="W210" s="59">
        <f t="shared" si="76"/>
        <v>0</v>
      </c>
      <c r="X210" s="59">
        <f t="shared" si="76"/>
        <v>14726.6</v>
      </c>
      <c r="Y210" s="59">
        <f t="shared" ref="Y210:Z210" si="77">SUM(Y211:Y214)</f>
        <v>0</v>
      </c>
      <c r="Z210" s="59">
        <f t="shared" si="77"/>
        <v>0</v>
      </c>
      <c r="AA210" s="59">
        <f>SUM(T210:Z210)</f>
        <v>37609</v>
      </c>
      <c r="AB210" s="58">
        <v>2022</v>
      </c>
      <c r="AC210" s="103"/>
    </row>
    <row r="211" spans="1:30" s="76" customFormat="1" x14ac:dyDescent="0.25">
      <c r="A211" s="54" t="s">
        <v>18</v>
      </c>
      <c r="B211" s="54" t="s">
        <v>18</v>
      </c>
      <c r="C211" s="54" t="s">
        <v>24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19</v>
      </c>
      <c r="N211" s="54" t="s">
        <v>18</v>
      </c>
      <c r="O211" s="54" t="s">
        <v>169</v>
      </c>
      <c r="P211" s="54" t="s">
        <v>21</v>
      </c>
      <c r="Q211" s="54" t="s">
        <v>25</v>
      </c>
      <c r="R211" s="168"/>
      <c r="S211" s="160"/>
      <c r="T211" s="1">
        <f>T214+T215</f>
        <v>0</v>
      </c>
      <c r="U211" s="1">
        <f>14400.1+2862.7</f>
        <v>17262.8</v>
      </c>
      <c r="V211" s="1">
        <v>0</v>
      </c>
      <c r="W211" s="1">
        <v>0</v>
      </c>
      <c r="X211" s="1">
        <v>11517.2</v>
      </c>
      <c r="Y211" s="1">
        <v>0</v>
      </c>
      <c r="Z211" s="1">
        <v>0</v>
      </c>
      <c r="AA211" s="59">
        <f t="shared" ref="AA211:AA214" si="78">SUM(T211:Z211)</f>
        <v>28780</v>
      </c>
      <c r="AB211" s="58">
        <v>2022</v>
      </c>
      <c r="AC211" s="103"/>
    </row>
    <row r="212" spans="1:30" s="76" customFormat="1" x14ac:dyDescent="0.25">
      <c r="A212" s="54" t="s">
        <v>18</v>
      </c>
      <c r="B212" s="54" t="s">
        <v>18</v>
      </c>
      <c r="C212" s="54" t="s">
        <v>24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37</v>
      </c>
      <c r="N212" s="54" t="s">
        <v>18</v>
      </c>
      <c r="O212" s="54" t="s">
        <v>169</v>
      </c>
      <c r="P212" s="54" t="s">
        <v>21</v>
      </c>
      <c r="Q212" s="54" t="s">
        <v>25</v>
      </c>
      <c r="R212" s="168"/>
      <c r="S212" s="160"/>
      <c r="T212" s="1">
        <v>0</v>
      </c>
      <c r="U212" s="1">
        <f>3599.9+2545.7-290-443.1</f>
        <v>5412.5</v>
      </c>
      <c r="V212" s="1">
        <f>1096.5-1096.5</f>
        <v>0</v>
      </c>
      <c r="W212" s="1">
        <f>1500-1500</f>
        <v>0</v>
      </c>
      <c r="X212" s="1">
        <v>2879.8</v>
      </c>
      <c r="Y212" s="1">
        <f>1500-1500</f>
        <v>0</v>
      </c>
      <c r="Z212" s="1">
        <f>1500-1500</f>
        <v>0</v>
      </c>
      <c r="AA212" s="59">
        <f t="shared" si="78"/>
        <v>8292.2999999999993</v>
      </c>
      <c r="AB212" s="58">
        <v>2022</v>
      </c>
      <c r="AC212" s="103"/>
    </row>
    <row r="213" spans="1:30" s="76" customFormat="1" x14ac:dyDescent="0.25">
      <c r="A213" s="54" t="s">
        <v>18</v>
      </c>
      <c r="B213" s="54" t="s">
        <v>18</v>
      </c>
      <c r="C213" s="54" t="s">
        <v>24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18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8"/>
      <c r="S213" s="160"/>
      <c r="T213" s="1">
        <v>0</v>
      </c>
      <c r="U213" s="1">
        <v>0</v>
      </c>
      <c r="V213" s="1">
        <v>0</v>
      </c>
      <c r="W213" s="1">
        <f>1500-1500</f>
        <v>0</v>
      </c>
      <c r="X213" s="1">
        <v>329.6</v>
      </c>
      <c r="Y213" s="1">
        <f>1500-1500</f>
        <v>0</v>
      </c>
      <c r="Z213" s="1">
        <f>1500-1500</f>
        <v>0</v>
      </c>
      <c r="AA213" s="59">
        <f t="shared" si="78"/>
        <v>329.6</v>
      </c>
      <c r="AB213" s="58">
        <v>2022</v>
      </c>
      <c r="AC213" s="103"/>
    </row>
    <row r="214" spans="1:30" s="76" customFormat="1" x14ac:dyDescent="0.25">
      <c r="A214" s="54" t="s">
        <v>18</v>
      </c>
      <c r="B214" s="54" t="s">
        <v>18</v>
      </c>
      <c r="C214" s="54" t="s">
        <v>24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43</v>
      </c>
      <c r="N214" s="54" t="s">
        <v>43</v>
      </c>
      <c r="O214" s="54" t="s">
        <v>43</v>
      </c>
      <c r="P214" s="54" t="s">
        <v>43</v>
      </c>
      <c r="Q214" s="54" t="s">
        <v>43</v>
      </c>
      <c r="R214" s="168"/>
      <c r="S214" s="161"/>
      <c r="T214" s="1">
        <v>0</v>
      </c>
      <c r="U214" s="1">
        <f>145-145+100+385.2+30.4-308.5</f>
        <v>207.10000000000002</v>
      </c>
      <c r="V214" s="1">
        <f>403.5-403.5</f>
        <v>0</v>
      </c>
      <c r="W214" s="1">
        <v>0</v>
      </c>
      <c r="X214" s="1">
        <v>0</v>
      </c>
      <c r="Y214" s="1">
        <v>0</v>
      </c>
      <c r="Z214" s="1">
        <v>0</v>
      </c>
      <c r="AA214" s="59">
        <f t="shared" si="78"/>
        <v>207.10000000000002</v>
      </c>
      <c r="AB214" s="58">
        <v>2019</v>
      </c>
      <c r="AC214" s="103"/>
    </row>
    <row r="215" spans="1:30" s="76" customFormat="1" ht="63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78" t="s">
        <v>284</v>
      </c>
      <c r="S215" s="62" t="s">
        <v>52</v>
      </c>
      <c r="T215" s="3">
        <v>0</v>
      </c>
      <c r="U215" s="3">
        <v>10.6</v>
      </c>
      <c r="V215" s="3">
        <f>3-3</f>
        <v>0</v>
      </c>
      <c r="W215" s="3">
        <v>0</v>
      </c>
      <c r="X215" s="3">
        <v>3.7</v>
      </c>
      <c r="Y215" s="3">
        <v>0</v>
      </c>
      <c r="Z215" s="3">
        <v>0</v>
      </c>
      <c r="AA215" s="6">
        <f>SUM(T215:Z215)</f>
        <v>14.3</v>
      </c>
      <c r="AB215" s="41">
        <v>2022</v>
      </c>
      <c r="AC215" s="103"/>
    </row>
    <row r="216" spans="1:30" s="76" customFormat="1" ht="47.25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80" t="s">
        <v>285</v>
      </c>
      <c r="S216" s="62" t="s">
        <v>38</v>
      </c>
      <c r="T216" s="44">
        <v>0</v>
      </c>
      <c r="U216" s="44">
        <v>4</v>
      </c>
      <c r="V216" s="44">
        <f>2-2</f>
        <v>0</v>
      </c>
      <c r="W216" s="44">
        <v>0</v>
      </c>
      <c r="X216" s="44">
        <v>3</v>
      </c>
      <c r="Y216" s="44">
        <v>0</v>
      </c>
      <c r="Z216" s="44">
        <v>0</v>
      </c>
      <c r="AA216" s="49">
        <f>SUM(T216:Z216)</f>
        <v>7</v>
      </c>
      <c r="AB216" s="41">
        <v>2022</v>
      </c>
      <c r="AC216" s="103"/>
      <c r="AD216" s="81"/>
    </row>
    <row r="217" spans="1:30" s="133" customFormat="1" ht="63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78" t="s">
        <v>292</v>
      </c>
      <c r="S217" s="52" t="s">
        <v>38</v>
      </c>
      <c r="T217" s="44">
        <v>0</v>
      </c>
      <c r="U217" s="44">
        <v>4</v>
      </c>
      <c r="V217" s="44">
        <v>0</v>
      </c>
      <c r="W217" s="44">
        <v>0</v>
      </c>
      <c r="X217" s="44">
        <v>3</v>
      </c>
      <c r="Y217" s="44">
        <v>0</v>
      </c>
      <c r="Z217" s="44">
        <v>0</v>
      </c>
      <c r="AA217" s="49">
        <f>SUM(T217:Z217)</f>
        <v>7</v>
      </c>
      <c r="AB217" s="41">
        <v>2022</v>
      </c>
      <c r="AC217" s="111"/>
      <c r="AD217" s="132"/>
    </row>
    <row r="218" spans="1:30" s="76" customFormat="1" x14ac:dyDescent="0.25">
      <c r="A218" s="54" t="s">
        <v>18</v>
      </c>
      <c r="B218" s="54" t="s">
        <v>18</v>
      </c>
      <c r="C218" s="54" t="s">
        <v>21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18</v>
      </c>
      <c r="N218" s="54" t="s">
        <v>18</v>
      </c>
      <c r="O218" s="54" t="s">
        <v>18</v>
      </c>
      <c r="P218" s="54" t="s">
        <v>18</v>
      </c>
      <c r="Q218" s="54" t="s">
        <v>18</v>
      </c>
      <c r="R218" s="168" t="s">
        <v>131</v>
      </c>
      <c r="S218" s="159" t="s">
        <v>0</v>
      </c>
      <c r="T218" s="59">
        <f>T220+T222</f>
        <v>0</v>
      </c>
      <c r="U218" s="59">
        <f>SUM(U219:U222)</f>
        <v>25870.1</v>
      </c>
      <c r="V218" s="59">
        <f t="shared" ref="V218:X218" si="79">SUM(V219:V222)</f>
        <v>30</v>
      </c>
      <c r="W218" s="59">
        <f t="shared" si="79"/>
        <v>0</v>
      </c>
      <c r="X218" s="59">
        <f t="shared" si="79"/>
        <v>5337.4</v>
      </c>
      <c r="Y218" s="59">
        <f t="shared" ref="Y218:Z218" si="80">SUM(Y219:Y222)</f>
        <v>0</v>
      </c>
      <c r="Z218" s="59">
        <f t="shared" si="80"/>
        <v>0</v>
      </c>
      <c r="AA218" s="59">
        <f>SUM(T218:Z218)</f>
        <v>31237.5</v>
      </c>
      <c r="AB218" s="58">
        <v>2022</v>
      </c>
      <c r="AC218" s="103"/>
    </row>
    <row r="219" spans="1:30" s="76" customFormat="1" x14ac:dyDescent="0.25">
      <c r="A219" s="54" t="s">
        <v>18</v>
      </c>
      <c r="B219" s="54" t="s">
        <v>18</v>
      </c>
      <c r="C219" s="54" t="s">
        <v>21</v>
      </c>
      <c r="D219" s="54" t="s">
        <v>18</v>
      </c>
      <c r="E219" s="54" t="s">
        <v>24</v>
      </c>
      <c r="F219" s="54" t="s">
        <v>18</v>
      </c>
      <c r="G219" s="54" t="s">
        <v>43</v>
      </c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19</v>
      </c>
      <c r="N219" s="54" t="s">
        <v>18</v>
      </c>
      <c r="O219" s="54" t="s">
        <v>169</v>
      </c>
      <c r="P219" s="54" t="s">
        <v>21</v>
      </c>
      <c r="Q219" s="54" t="s">
        <v>25</v>
      </c>
      <c r="R219" s="168"/>
      <c r="S219" s="160"/>
      <c r="T219" s="1">
        <v>0</v>
      </c>
      <c r="U219" s="1">
        <f>16800.1+3497.2</f>
        <v>20297.3</v>
      </c>
      <c r="V219" s="1">
        <v>0</v>
      </c>
      <c r="W219" s="1">
        <v>0</v>
      </c>
      <c r="X219" s="1">
        <f>5566.2-1385.8</f>
        <v>4180.3999999999996</v>
      </c>
      <c r="Y219" s="1">
        <v>0</v>
      </c>
      <c r="Z219" s="1">
        <v>0</v>
      </c>
      <c r="AA219" s="59">
        <f t="shared" ref="AA219:AA221" si="81">SUM(T219:Z219)</f>
        <v>24477.699999999997</v>
      </c>
      <c r="AB219" s="58">
        <v>2022</v>
      </c>
      <c r="AC219" s="103"/>
    </row>
    <row r="220" spans="1:30" s="76" customFormat="1" x14ac:dyDescent="0.25">
      <c r="A220" s="54" t="s">
        <v>18</v>
      </c>
      <c r="B220" s="54" t="s">
        <v>18</v>
      </c>
      <c r="C220" s="54" t="s">
        <v>21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37</v>
      </c>
      <c r="N220" s="54" t="s">
        <v>18</v>
      </c>
      <c r="O220" s="54" t="s">
        <v>169</v>
      </c>
      <c r="P220" s="54" t="s">
        <v>21</v>
      </c>
      <c r="Q220" s="54" t="s">
        <v>25</v>
      </c>
      <c r="R220" s="168"/>
      <c r="S220" s="160"/>
      <c r="T220" s="1">
        <v>0</v>
      </c>
      <c r="U220" s="1">
        <f>4199.9+588.4+1708.4-290-845.8</f>
        <v>5360.8999999999987</v>
      </c>
      <c r="V220" s="1">
        <f>1355-1355</f>
        <v>0</v>
      </c>
      <c r="W220" s="1">
        <f>1500-1500</f>
        <v>0</v>
      </c>
      <c r="X220" s="1">
        <v>1045.0999999999999</v>
      </c>
      <c r="Y220" s="1">
        <f>1500-1500</f>
        <v>0</v>
      </c>
      <c r="Z220" s="1">
        <f>1500-1500</f>
        <v>0</v>
      </c>
      <c r="AA220" s="59">
        <f t="shared" si="81"/>
        <v>6405.9999999999982</v>
      </c>
      <c r="AB220" s="58">
        <v>2022</v>
      </c>
      <c r="AC220" s="103"/>
    </row>
    <row r="221" spans="1:30" s="76" customFormat="1" x14ac:dyDescent="0.25">
      <c r="A221" s="54" t="s">
        <v>18</v>
      </c>
      <c r="B221" s="54" t="s">
        <v>18</v>
      </c>
      <c r="C221" s="54" t="s">
        <v>21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18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8"/>
      <c r="S221" s="160"/>
      <c r="T221" s="1">
        <v>0</v>
      </c>
      <c r="U221" s="1">
        <v>0</v>
      </c>
      <c r="V221" s="1">
        <v>0</v>
      </c>
      <c r="W221" s="1">
        <v>0</v>
      </c>
      <c r="X221" s="1">
        <v>111.9</v>
      </c>
      <c r="Y221" s="1">
        <v>0</v>
      </c>
      <c r="Z221" s="1">
        <v>0</v>
      </c>
      <c r="AA221" s="59">
        <f t="shared" si="81"/>
        <v>111.9</v>
      </c>
      <c r="AB221" s="58">
        <v>2022</v>
      </c>
      <c r="AC221" s="103"/>
    </row>
    <row r="222" spans="1:30" s="76" customFormat="1" x14ac:dyDescent="0.25">
      <c r="A222" s="54" t="s">
        <v>18</v>
      </c>
      <c r="B222" s="54" t="s">
        <v>18</v>
      </c>
      <c r="C222" s="54" t="s">
        <v>21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43</v>
      </c>
      <c r="N222" s="54" t="s">
        <v>43</v>
      </c>
      <c r="O222" s="54" t="s">
        <v>43</v>
      </c>
      <c r="P222" s="54" t="s">
        <v>43</v>
      </c>
      <c r="Q222" s="54" t="s">
        <v>43</v>
      </c>
      <c r="R222" s="168"/>
      <c r="S222" s="161"/>
      <c r="T222" s="1">
        <v>0</v>
      </c>
      <c r="U222" s="1">
        <f>145-145+100+449.4+12.6+23.8-373.9</f>
        <v>211.89999999999998</v>
      </c>
      <c r="V222" s="1">
        <f>145-115</f>
        <v>30</v>
      </c>
      <c r="W222" s="1">
        <v>0</v>
      </c>
      <c r="X222" s="1">
        <v>0</v>
      </c>
      <c r="Y222" s="1">
        <v>0</v>
      </c>
      <c r="Z222" s="1">
        <v>0</v>
      </c>
      <c r="AA222" s="59">
        <f>SUM(T222:Z222)</f>
        <v>241.89999999999998</v>
      </c>
      <c r="AB222" s="58">
        <v>2020</v>
      </c>
      <c r="AC222" s="103"/>
    </row>
    <row r="223" spans="1:30" s="76" customFormat="1" ht="63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40" t="s">
        <v>286</v>
      </c>
      <c r="S223" s="62" t="s">
        <v>52</v>
      </c>
      <c r="T223" s="44">
        <v>0</v>
      </c>
      <c r="U223" s="3">
        <v>11.9</v>
      </c>
      <c r="V223" s="3">
        <f>4-4</f>
        <v>0</v>
      </c>
      <c r="W223" s="3">
        <v>0</v>
      </c>
      <c r="X223" s="3">
        <v>1.9</v>
      </c>
      <c r="Y223" s="3">
        <v>0</v>
      </c>
      <c r="Z223" s="3">
        <v>0</v>
      </c>
      <c r="AA223" s="49">
        <f>SUM(T223:Z223)</f>
        <v>13.8</v>
      </c>
      <c r="AB223" s="41">
        <v>2022</v>
      </c>
      <c r="AC223" s="103"/>
    </row>
    <row r="224" spans="1:30" s="76" customFormat="1" ht="47.25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287</v>
      </c>
      <c r="S224" s="62" t="s">
        <v>38</v>
      </c>
      <c r="T224" s="44">
        <v>0</v>
      </c>
      <c r="U224" s="44">
        <v>3</v>
      </c>
      <c r="V224" s="44">
        <f>3-3</f>
        <v>0</v>
      </c>
      <c r="W224" s="44">
        <v>0</v>
      </c>
      <c r="X224" s="44">
        <v>1</v>
      </c>
      <c r="Y224" s="44">
        <v>0</v>
      </c>
      <c r="Z224" s="44">
        <v>0</v>
      </c>
      <c r="AA224" s="49">
        <f>SUM(T224:Z224)</f>
        <v>4</v>
      </c>
      <c r="AB224" s="41">
        <v>2022</v>
      </c>
      <c r="AC224" s="103"/>
      <c r="AD224" s="81"/>
    </row>
    <row r="225" spans="1:30" s="133" customFormat="1" ht="63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78" t="s">
        <v>293</v>
      </c>
      <c r="S225" s="52" t="s">
        <v>38</v>
      </c>
      <c r="T225" s="44">
        <v>0</v>
      </c>
      <c r="U225" s="44">
        <v>3</v>
      </c>
      <c r="V225" s="44">
        <v>1</v>
      </c>
      <c r="W225" s="44">
        <v>0</v>
      </c>
      <c r="X225" s="44">
        <v>1</v>
      </c>
      <c r="Y225" s="44">
        <v>0</v>
      </c>
      <c r="Z225" s="44">
        <v>0</v>
      </c>
      <c r="AA225" s="49">
        <f>SUM(T225:Z225)</f>
        <v>5</v>
      </c>
      <c r="AB225" s="41">
        <v>2022</v>
      </c>
      <c r="AC225" s="111"/>
      <c r="AD225" s="132"/>
    </row>
    <row r="226" spans="1:30" s="76" customFormat="1" x14ac:dyDescent="0.25">
      <c r="A226" s="54" t="s">
        <v>18</v>
      </c>
      <c r="B226" s="54" t="s">
        <v>18</v>
      </c>
      <c r="C226" s="54" t="s">
        <v>25</v>
      </c>
      <c r="D226" s="54" t="s">
        <v>18</v>
      </c>
      <c r="E226" s="54" t="s">
        <v>24</v>
      </c>
      <c r="F226" s="54" t="s">
        <v>18</v>
      </c>
      <c r="G226" s="54" t="s">
        <v>43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68" t="s">
        <v>131</v>
      </c>
      <c r="S226" s="159" t="s">
        <v>0</v>
      </c>
      <c r="T226" s="59">
        <f>T228+T230</f>
        <v>0</v>
      </c>
      <c r="U226" s="59">
        <f>SUM(U227:U230)</f>
        <v>10158.9</v>
      </c>
      <c r="V226" s="59">
        <f t="shared" ref="V226:X226" si="82">SUM(V227:V230)</f>
        <v>491</v>
      </c>
      <c r="W226" s="59">
        <f t="shared" si="82"/>
        <v>0</v>
      </c>
      <c r="X226" s="59">
        <f t="shared" si="82"/>
        <v>4086.8</v>
      </c>
      <c r="Y226" s="59">
        <f t="shared" ref="Y226:Z226" si="83">SUM(Y227:Y230)</f>
        <v>0</v>
      </c>
      <c r="Z226" s="59">
        <f t="shared" si="83"/>
        <v>0</v>
      </c>
      <c r="AA226" s="59">
        <f t="shared" ref="AA226:AA230" si="84">SUM(T226:Z226)</f>
        <v>14736.7</v>
      </c>
      <c r="AB226" s="58">
        <v>2022</v>
      </c>
      <c r="AC226" s="103"/>
    </row>
    <row r="227" spans="1:30" s="76" customFormat="1" x14ac:dyDescent="0.25">
      <c r="A227" s="54" t="s">
        <v>18</v>
      </c>
      <c r="B227" s="54" t="s">
        <v>18</v>
      </c>
      <c r="C227" s="54" t="s">
        <v>25</v>
      </c>
      <c r="D227" s="54" t="s">
        <v>18</v>
      </c>
      <c r="E227" s="54" t="s">
        <v>24</v>
      </c>
      <c r="F227" s="54" t="s">
        <v>18</v>
      </c>
      <c r="G227" s="54" t="s">
        <v>43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169</v>
      </c>
      <c r="P227" s="54" t="s">
        <v>21</v>
      </c>
      <c r="Q227" s="54" t="s">
        <v>25</v>
      </c>
      <c r="R227" s="168"/>
      <c r="S227" s="160"/>
      <c r="T227" s="1">
        <v>0</v>
      </c>
      <c r="U227" s="1">
        <f>9600-1604.2</f>
        <v>7995.8</v>
      </c>
      <c r="V227" s="1">
        <v>0</v>
      </c>
      <c r="W227" s="1">
        <v>0</v>
      </c>
      <c r="X227" s="1">
        <v>3184.8</v>
      </c>
      <c r="Y227" s="1">
        <v>0</v>
      </c>
      <c r="Z227" s="1">
        <v>0</v>
      </c>
      <c r="AA227" s="59">
        <f t="shared" si="84"/>
        <v>11180.6</v>
      </c>
      <c r="AB227" s="58">
        <v>2022</v>
      </c>
      <c r="AC227" s="103"/>
    </row>
    <row r="228" spans="1:30" s="76" customFormat="1" x14ac:dyDescent="0.25">
      <c r="A228" s="54" t="s">
        <v>18</v>
      </c>
      <c r="B228" s="54" t="s">
        <v>18</v>
      </c>
      <c r="C228" s="54" t="s">
        <v>25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169</v>
      </c>
      <c r="P228" s="54" t="s">
        <v>21</v>
      </c>
      <c r="Q228" s="54" t="s">
        <v>25</v>
      </c>
      <c r="R228" s="168"/>
      <c r="S228" s="160"/>
      <c r="T228" s="1">
        <v>0</v>
      </c>
      <c r="U228" s="1">
        <f>2401-402-43.9</f>
        <v>1955.1</v>
      </c>
      <c r="V228" s="1">
        <f>798.8-798.8</f>
        <v>0</v>
      </c>
      <c r="W228" s="1">
        <f>1500-1500</f>
        <v>0</v>
      </c>
      <c r="X228" s="1">
        <v>796.2</v>
      </c>
      <c r="Y228" s="1">
        <f>1500-1500</f>
        <v>0</v>
      </c>
      <c r="Z228" s="1">
        <f>1500-1500</f>
        <v>0</v>
      </c>
      <c r="AA228" s="59">
        <f t="shared" si="84"/>
        <v>2751.3</v>
      </c>
      <c r="AB228" s="58">
        <v>2022</v>
      </c>
      <c r="AC228" s="103"/>
    </row>
    <row r="229" spans="1:30" s="76" customFormat="1" x14ac:dyDescent="0.25">
      <c r="A229" s="54" t="s">
        <v>18</v>
      </c>
      <c r="B229" s="54" t="s">
        <v>18</v>
      </c>
      <c r="C229" s="54" t="s">
        <v>25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18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8"/>
      <c r="S229" s="160"/>
      <c r="T229" s="1">
        <v>0</v>
      </c>
      <c r="U229" s="1">
        <v>0</v>
      </c>
      <c r="V229" s="1">
        <v>0</v>
      </c>
      <c r="W229" s="1">
        <v>0</v>
      </c>
      <c r="X229" s="1">
        <v>105.8</v>
      </c>
      <c r="Y229" s="1">
        <v>0</v>
      </c>
      <c r="Z229" s="1">
        <v>0</v>
      </c>
      <c r="AA229" s="59">
        <f t="shared" si="84"/>
        <v>105.8</v>
      </c>
      <c r="AB229" s="58">
        <v>2022</v>
      </c>
      <c r="AC229" s="103"/>
    </row>
    <row r="230" spans="1:30" s="76" customFormat="1" x14ac:dyDescent="0.25">
      <c r="A230" s="54" t="s">
        <v>18</v>
      </c>
      <c r="B230" s="54" t="s">
        <v>18</v>
      </c>
      <c r="C230" s="54" t="s">
        <v>25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43</v>
      </c>
      <c r="N230" s="54" t="s">
        <v>43</v>
      </c>
      <c r="O230" s="54" t="s">
        <v>43</v>
      </c>
      <c r="P230" s="54" t="s">
        <v>43</v>
      </c>
      <c r="Q230" s="54" t="s">
        <v>43</v>
      </c>
      <c r="R230" s="168"/>
      <c r="S230" s="161"/>
      <c r="T230" s="1">
        <v>0</v>
      </c>
      <c r="U230" s="1">
        <f>356.9+402-550.9</f>
        <v>208</v>
      </c>
      <c r="V230" s="1">
        <f>701.2-88.6-121.6</f>
        <v>491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4"/>
        <v>699</v>
      </c>
      <c r="AB230" s="58">
        <v>2020</v>
      </c>
      <c r="AC230" s="103"/>
    </row>
    <row r="231" spans="1:30" s="76" customFormat="1" ht="63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78" t="s">
        <v>288</v>
      </c>
      <c r="S231" s="62" t="s">
        <v>52</v>
      </c>
      <c r="T231" s="3">
        <v>0</v>
      </c>
      <c r="U231" s="3">
        <v>4.0999999999999996</v>
      </c>
      <c r="V231" s="3">
        <f>1.3-1.3</f>
        <v>0</v>
      </c>
      <c r="W231" s="3">
        <v>0</v>
      </c>
      <c r="X231" s="3">
        <v>1</v>
      </c>
      <c r="Y231" s="3">
        <v>0</v>
      </c>
      <c r="Z231" s="3">
        <v>0</v>
      </c>
      <c r="AA231" s="6">
        <f>SUM(T231:Z231)</f>
        <v>5.0999999999999996</v>
      </c>
      <c r="AB231" s="41">
        <v>2022</v>
      </c>
      <c r="AC231" s="103"/>
    </row>
    <row r="232" spans="1:30" s="76" customFormat="1" ht="4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80" t="s">
        <v>289</v>
      </c>
      <c r="S232" s="62" t="s">
        <v>38</v>
      </c>
      <c r="T232" s="44">
        <v>0</v>
      </c>
      <c r="U232" s="44">
        <v>5</v>
      </c>
      <c r="V232" s="44">
        <f>1-1</f>
        <v>0</v>
      </c>
      <c r="W232" s="44">
        <v>0</v>
      </c>
      <c r="X232" s="44">
        <v>1</v>
      </c>
      <c r="Y232" s="44">
        <v>0</v>
      </c>
      <c r="Z232" s="44">
        <v>0</v>
      </c>
      <c r="AA232" s="6">
        <f t="shared" ref="AA232:AA233" si="85">SUM(T232:Z232)</f>
        <v>6</v>
      </c>
      <c r="AB232" s="41">
        <v>2022</v>
      </c>
      <c r="AC232" s="103"/>
      <c r="AD232" s="81"/>
    </row>
    <row r="233" spans="1:30" s="133" customFormat="1" ht="63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78" t="s">
        <v>338</v>
      </c>
      <c r="S233" s="52" t="s">
        <v>38</v>
      </c>
      <c r="T233" s="44">
        <v>0</v>
      </c>
      <c r="U233" s="44">
        <v>5</v>
      </c>
      <c r="V233" s="44">
        <v>8</v>
      </c>
      <c r="W233" s="44">
        <v>0</v>
      </c>
      <c r="X233" s="44">
        <v>1</v>
      </c>
      <c r="Y233" s="44">
        <v>0</v>
      </c>
      <c r="Z233" s="44">
        <v>0</v>
      </c>
      <c r="AA233" s="49">
        <f t="shared" si="85"/>
        <v>14</v>
      </c>
      <c r="AB233" s="41">
        <v>2022</v>
      </c>
      <c r="AC233" s="111"/>
      <c r="AD233" s="132"/>
    </row>
    <row r="234" spans="1:30" s="76" customFormat="1" ht="19.149999999999999" customHeight="1" x14ac:dyDescent="0.25">
      <c r="A234" s="54" t="s">
        <v>18</v>
      </c>
      <c r="B234" s="54" t="s">
        <v>19</v>
      </c>
      <c r="C234" s="54" t="s">
        <v>20</v>
      </c>
      <c r="D234" s="54" t="s">
        <v>18</v>
      </c>
      <c r="E234" s="54" t="s">
        <v>24</v>
      </c>
      <c r="F234" s="54" t="s">
        <v>18</v>
      </c>
      <c r="G234" s="54" t="s">
        <v>43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18</v>
      </c>
      <c r="N234" s="54" t="s">
        <v>18</v>
      </c>
      <c r="O234" s="54" t="s">
        <v>18</v>
      </c>
      <c r="P234" s="54" t="s">
        <v>18</v>
      </c>
      <c r="Q234" s="54" t="s">
        <v>18</v>
      </c>
      <c r="R234" s="168" t="s">
        <v>131</v>
      </c>
      <c r="S234" s="159" t="s">
        <v>0</v>
      </c>
      <c r="T234" s="59">
        <f t="shared" ref="T234:Z234" si="86">SUM(T235:T237)</f>
        <v>123487.5</v>
      </c>
      <c r="U234" s="59">
        <f t="shared" si="86"/>
        <v>579.5</v>
      </c>
      <c r="V234" s="59">
        <f t="shared" si="86"/>
        <v>0</v>
      </c>
      <c r="W234" s="59">
        <f t="shared" si="86"/>
        <v>0</v>
      </c>
      <c r="X234" s="59">
        <f t="shared" si="86"/>
        <v>0</v>
      </c>
      <c r="Y234" s="59">
        <f t="shared" si="86"/>
        <v>0</v>
      </c>
      <c r="Z234" s="59">
        <f t="shared" si="86"/>
        <v>0</v>
      </c>
      <c r="AA234" s="59">
        <f t="shared" ref="AA234:AA239" si="87">SUM(T234:Z234)</f>
        <v>124067</v>
      </c>
      <c r="AB234" s="58">
        <v>2019</v>
      </c>
      <c r="AC234" s="120"/>
    </row>
    <row r="235" spans="1:30" s="76" customFormat="1" ht="19.149999999999999" customHeight="1" x14ac:dyDescent="0.25">
      <c r="A235" s="54" t="s">
        <v>18</v>
      </c>
      <c r="B235" s="54" t="s">
        <v>19</v>
      </c>
      <c r="C235" s="54" t="s">
        <v>20</v>
      </c>
      <c r="D235" s="54" t="s">
        <v>18</v>
      </c>
      <c r="E235" s="54" t="s">
        <v>24</v>
      </c>
      <c r="F235" s="54" t="s">
        <v>18</v>
      </c>
      <c r="G235" s="54" t="s">
        <v>43</v>
      </c>
      <c r="H235" s="54" t="s">
        <v>19</v>
      </c>
      <c r="I235" s="54" t="s">
        <v>24</v>
      </c>
      <c r="J235" s="54" t="s">
        <v>18</v>
      </c>
      <c r="K235" s="54" t="s">
        <v>18</v>
      </c>
      <c r="L235" s="54" t="s">
        <v>20</v>
      </c>
      <c r="M235" s="54" t="s">
        <v>19</v>
      </c>
      <c r="N235" s="54" t="s">
        <v>18</v>
      </c>
      <c r="O235" s="54" t="s">
        <v>169</v>
      </c>
      <c r="P235" s="54" t="s">
        <v>21</v>
      </c>
      <c r="Q235" s="54" t="s">
        <v>25</v>
      </c>
      <c r="R235" s="168"/>
      <c r="S235" s="160"/>
      <c r="T235" s="1">
        <v>78128.899999999994</v>
      </c>
      <c r="U235" s="1">
        <f>57600.3-57600.3</f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59">
        <f t="shared" si="87"/>
        <v>78128.899999999994</v>
      </c>
      <c r="AB235" s="58">
        <v>2018</v>
      </c>
      <c r="AC235" s="33"/>
    </row>
    <row r="236" spans="1:30" s="76" customFormat="1" ht="19.149999999999999" customHeight="1" x14ac:dyDescent="0.25">
      <c r="A236" s="54" t="s">
        <v>18</v>
      </c>
      <c r="B236" s="54" t="s">
        <v>19</v>
      </c>
      <c r="C236" s="54" t="s">
        <v>20</v>
      </c>
      <c r="D236" s="54" t="s">
        <v>18</v>
      </c>
      <c r="E236" s="54" t="s">
        <v>24</v>
      </c>
      <c r="F236" s="54" t="s">
        <v>18</v>
      </c>
      <c r="G236" s="54" t="s">
        <v>43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37</v>
      </c>
      <c r="N236" s="54" t="s">
        <v>18</v>
      </c>
      <c r="O236" s="54" t="s">
        <v>169</v>
      </c>
      <c r="P236" s="54" t="s">
        <v>21</v>
      </c>
      <c r="Q236" s="54" t="s">
        <v>25</v>
      </c>
      <c r="R236" s="168"/>
      <c r="S236" s="160"/>
      <c r="T236" s="1">
        <f>18932.6+19997.4+4074.8+2495.5-26-605.7-796.8</f>
        <v>44071.8</v>
      </c>
      <c r="U236" s="1">
        <f>0+14400.7-14400.7</f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87"/>
        <v>44071.8</v>
      </c>
      <c r="AB236" s="58">
        <v>2018</v>
      </c>
      <c r="AC236" s="33"/>
    </row>
    <row r="237" spans="1:30" s="76" customFormat="1" ht="19.149999999999999" customHeight="1" x14ac:dyDescent="0.25">
      <c r="A237" s="54" t="s">
        <v>18</v>
      </c>
      <c r="B237" s="54" t="s">
        <v>19</v>
      </c>
      <c r="C237" s="54" t="s">
        <v>20</v>
      </c>
      <c r="D237" s="54" t="s">
        <v>18</v>
      </c>
      <c r="E237" s="54" t="s">
        <v>24</v>
      </c>
      <c r="F237" s="54" t="s">
        <v>18</v>
      </c>
      <c r="G237" s="54" t="s">
        <v>43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43</v>
      </c>
      <c r="N237" s="54" t="s">
        <v>43</v>
      </c>
      <c r="O237" s="54" t="s">
        <v>43</v>
      </c>
      <c r="P237" s="54" t="s">
        <v>43</v>
      </c>
      <c r="Q237" s="54" t="s">
        <v>43</v>
      </c>
      <c r="R237" s="168"/>
      <c r="S237" s="161"/>
      <c r="T237" s="1">
        <f>2076.9+439-203.1-904.8-121.2</f>
        <v>1286.8000000000002</v>
      </c>
      <c r="U237" s="1">
        <v>579.5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87"/>
        <v>1866.3000000000002</v>
      </c>
      <c r="AB237" s="58">
        <v>2019</v>
      </c>
      <c r="AC237" s="33"/>
    </row>
    <row r="238" spans="1:30" s="133" customFormat="1" ht="63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78" t="s">
        <v>290</v>
      </c>
      <c r="S238" s="52" t="s">
        <v>52</v>
      </c>
      <c r="T238" s="3">
        <v>58.6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6">
        <f t="shared" si="87"/>
        <v>58.6</v>
      </c>
      <c r="AB238" s="41">
        <v>2018</v>
      </c>
      <c r="AC238" s="111"/>
    </row>
    <row r="239" spans="1:30" s="133" customFormat="1" ht="50.2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78" t="s">
        <v>291</v>
      </c>
      <c r="S239" s="52" t="s">
        <v>38</v>
      </c>
      <c r="T239" s="44">
        <v>28</v>
      </c>
      <c r="U239" s="44">
        <v>0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9">
        <f t="shared" si="87"/>
        <v>28</v>
      </c>
      <c r="AB239" s="41">
        <v>2018</v>
      </c>
      <c r="AC239" s="111"/>
      <c r="AD239" s="132"/>
    </row>
    <row r="240" spans="1:30" s="76" customFormat="1" ht="51.75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77" t="s">
        <v>175</v>
      </c>
      <c r="S240" s="55" t="s">
        <v>49</v>
      </c>
      <c r="T240" s="56">
        <v>1</v>
      </c>
      <c r="U240" s="56">
        <v>1</v>
      </c>
      <c r="V240" s="56">
        <v>1</v>
      </c>
      <c r="W240" s="56">
        <v>1</v>
      </c>
      <c r="X240" s="56">
        <v>1</v>
      </c>
      <c r="Y240" s="56">
        <v>1</v>
      </c>
      <c r="Z240" s="56">
        <v>1</v>
      </c>
      <c r="AA240" s="57">
        <v>1</v>
      </c>
      <c r="AB240" s="58">
        <v>2024</v>
      </c>
      <c r="AC240" s="33"/>
    </row>
    <row r="241" spans="1:31" ht="39.7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78" t="s">
        <v>132</v>
      </c>
      <c r="S241" s="41" t="s">
        <v>50</v>
      </c>
      <c r="T241" s="44">
        <f>25+19+31+16</f>
        <v>91</v>
      </c>
      <c r="U241" s="44">
        <f>6+15+31+5</f>
        <v>57</v>
      </c>
      <c r="V241" s="44">
        <f>50+19+31+70-60-49</f>
        <v>61</v>
      </c>
      <c r="W241" s="44">
        <f>2+15+31+30</f>
        <v>78</v>
      </c>
      <c r="X241" s="44">
        <f t="shared" ref="X241:Z241" si="88">50+19+31+70-60-49</f>
        <v>61</v>
      </c>
      <c r="Y241" s="44">
        <f t="shared" si="88"/>
        <v>61</v>
      </c>
      <c r="Z241" s="44">
        <f t="shared" si="88"/>
        <v>61</v>
      </c>
      <c r="AA241" s="49">
        <f>SUM(T241:Z241)</f>
        <v>470</v>
      </c>
      <c r="AB241" s="41">
        <v>2024</v>
      </c>
      <c r="AC241" s="128"/>
      <c r="AD241" s="101"/>
      <c r="AE241" s="101"/>
    </row>
    <row r="242" spans="1:31" ht="45" customHeight="1" x14ac:dyDescent="0.25">
      <c r="A242" s="54"/>
      <c r="B242" s="54"/>
      <c r="C242" s="54"/>
      <c r="D242" s="54"/>
      <c r="E242" s="54"/>
      <c r="F242" s="54"/>
      <c r="G242" s="54"/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18</v>
      </c>
      <c r="N242" s="54" t="s">
        <v>18</v>
      </c>
      <c r="O242" s="54" t="s">
        <v>18</v>
      </c>
      <c r="P242" s="54" t="s">
        <v>18</v>
      </c>
      <c r="Q242" s="54" t="s">
        <v>18</v>
      </c>
      <c r="R242" s="77" t="s">
        <v>133</v>
      </c>
      <c r="S242" s="58" t="s">
        <v>0</v>
      </c>
      <c r="T242" s="59">
        <f>T245+T292+T430+T335+T507</f>
        <v>22266.715</v>
      </c>
      <c r="U242" s="59">
        <f>U245+U292+U430+U335+U507</f>
        <v>22466.400000000001</v>
      </c>
      <c r="V242" s="59">
        <f>V245+V292+V430+V335+V507</f>
        <v>7085.3</v>
      </c>
      <c r="W242" s="59">
        <f>W245+W292+W430+W335+W507</f>
        <v>17341.099999999999</v>
      </c>
      <c r="X242" s="59">
        <f>X245+X292+X430+X335+X507</f>
        <v>11008.699999999999</v>
      </c>
      <c r="Y242" s="59">
        <v>0</v>
      </c>
      <c r="Z242" s="59">
        <v>0</v>
      </c>
      <c r="AA242" s="59">
        <f>SUM(T242:Z242)</f>
        <v>80168.215000000011</v>
      </c>
      <c r="AB242" s="58">
        <v>2022</v>
      </c>
      <c r="AC242" s="37"/>
      <c r="AD242" s="101"/>
      <c r="AE242" s="101"/>
    </row>
    <row r="243" spans="1:31" ht="36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80" t="s">
        <v>179</v>
      </c>
      <c r="S243" s="62" t="s">
        <v>52</v>
      </c>
      <c r="T243" s="3">
        <f>T302+T347+T439</f>
        <v>4.4000000000000004</v>
      </c>
      <c r="U243" s="3">
        <f>U302+U347+U439+U255</f>
        <v>4</v>
      </c>
      <c r="V243" s="3">
        <f>V302+V347+V439+V255</f>
        <v>1.7000000000000002</v>
      </c>
      <c r="W243" s="3">
        <f>W302+W347+W439+W255</f>
        <v>4.6000000000000005</v>
      </c>
      <c r="X243" s="3">
        <f>X302+X347+X439+X255</f>
        <v>3.8000000000000003</v>
      </c>
      <c r="Y243" s="3">
        <f>Y302+Y347+Y439+Y255</f>
        <v>0</v>
      </c>
      <c r="Z243" s="3">
        <v>0</v>
      </c>
      <c r="AA243" s="6">
        <f>SUM(T243:Z243)</f>
        <v>18.500000000000004</v>
      </c>
      <c r="AB243" s="41">
        <v>2022</v>
      </c>
      <c r="AC243" s="9"/>
      <c r="AD243" s="101"/>
      <c r="AE243" s="101"/>
    </row>
    <row r="244" spans="1:31" ht="38.2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61" t="s">
        <v>176</v>
      </c>
      <c r="S244" s="41" t="s">
        <v>50</v>
      </c>
      <c r="T244" s="44">
        <f t="shared" ref="T244:Y244" si="89">T256+T303+T348+T441</f>
        <v>30</v>
      </c>
      <c r="U244" s="44">
        <f t="shared" si="89"/>
        <v>22</v>
      </c>
      <c r="V244" s="44">
        <f t="shared" si="89"/>
        <v>7</v>
      </c>
      <c r="W244" s="44">
        <f t="shared" si="89"/>
        <v>15</v>
      </c>
      <c r="X244" s="44">
        <f>X256+X303+X348+X441</f>
        <v>6</v>
      </c>
      <c r="Y244" s="44">
        <f t="shared" si="89"/>
        <v>0</v>
      </c>
      <c r="Z244" s="44">
        <v>0</v>
      </c>
      <c r="AA244" s="49">
        <f>SUM(T244:Z244)</f>
        <v>80</v>
      </c>
      <c r="AB244" s="41">
        <v>2022</v>
      </c>
      <c r="AC244" s="9"/>
      <c r="AD244" s="101"/>
      <c r="AE244" s="101"/>
    </row>
    <row r="245" spans="1:3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18</v>
      </c>
      <c r="F245" s="54" t="s">
        <v>18</v>
      </c>
      <c r="G245" s="54" t="s">
        <v>18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18</v>
      </c>
      <c r="N245" s="54" t="s">
        <v>18</v>
      </c>
      <c r="O245" s="54" t="s">
        <v>18</v>
      </c>
      <c r="P245" s="54" t="s">
        <v>18</v>
      </c>
      <c r="Q245" s="54" t="s">
        <v>18</v>
      </c>
      <c r="R245" s="169" t="s">
        <v>133</v>
      </c>
      <c r="S245" s="162" t="s">
        <v>0</v>
      </c>
      <c r="T245" s="59">
        <f t="shared" ref="T245:V245" si="90">SUM(T246:T250)</f>
        <v>2922.6</v>
      </c>
      <c r="U245" s="59">
        <f t="shared" si="90"/>
        <v>6574.9</v>
      </c>
      <c r="V245" s="59">
        <f t="shared" si="90"/>
        <v>3964.5</v>
      </c>
      <c r="W245" s="59">
        <f>SUM(W246:W253)</f>
        <v>1826.6</v>
      </c>
      <c r="X245" s="59">
        <f>SUM(X246:X253)</f>
        <v>5318.9</v>
      </c>
      <c r="Y245" s="59">
        <f t="shared" ref="Y245:Z245" si="91">SUM(Y246:Y253)</f>
        <v>0</v>
      </c>
      <c r="Z245" s="59">
        <f t="shared" si="91"/>
        <v>0</v>
      </c>
      <c r="AA245" s="59">
        <f>SUM(T245:Z245)</f>
        <v>20607.5</v>
      </c>
      <c r="AB245" s="58">
        <v>2022</v>
      </c>
      <c r="AC245" s="124"/>
      <c r="AD245" s="101"/>
      <c r="AE245" s="101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19</v>
      </c>
      <c r="N246" s="54" t="s">
        <v>18</v>
      </c>
      <c r="O246" s="54" t="s">
        <v>24</v>
      </c>
      <c r="P246" s="54" t="s">
        <v>22</v>
      </c>
      <c r="Q246" s="54" t="s">
        <v>45</v>
      </c>
      <c r="R246" s="170"/>
      <c r="S246" s="163"/>
      <c r="T246" s="1">
        <f>T258+T263+T268+T274+T280+T287</f>
        <v>1229.5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ref="AA246:AA252" si="92">SUM(T246:Z246)</f>
        <v>1229.5</v>
      </c>
      <c r="AB246" s="58">
        <v>2018</v>
      </c>
      <c r="AC246" s="124"/>
      <c r="AD246" s="101"/>
      <c r="AE246" s="101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37</v>
      </c>
      <c r="N247" s="54" t="s">
        <v>18</v>
      </c>
      <c r="O247" s="54" t="s">
        <v>24</v>
      </c>
      <c r="P247" s="54" t="s">
        <v>22</v>
      </c>
      <c r="Q247" s="54" t="s">
        <v>39</v>
      </c>
      <c r="R247" s="170"/>
      <c r="S247" s="163"/>
      <c r="T247" s="1">
        <v>1046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si="92"/>
        <v>1046</v>
      </c>
      <c r="AB247" s="58">
        <v>2018</v>
      </c>
      <c r="AC247" s="124"/>
      <c r="AD247" s="101"/>
      <c r="AE247" s="101"/>
    </row>
    <row r="248" spans="1:3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18</v>
      </c>
      <c r="F248" s="54" t="s">
        <v>18</v>
      </c>
      <c r="G248" s="54" t="s">
        <v>18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46</v>
      </c>
      <c r="R248" s="170"/>
      <c r="S248" s="163"/>
      <c r="T248" s="1">
        <v>647.1</v>
      </c>
      <c r="U248" s="1">
        <v>1329.9</v>
      </c>
      <c r="V248" s="1">
        <v>949.3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2"/>
        <v>2926.3</v>
      </c>
      <c r="AB248" s="58">
        <v>2020</v>
      </c>
      <c r="AC248" s="124"/>
      <c r="AD248" s="101"/>
      <c r="AE248" s="101"/>
    </row>
    <row r="249" spans="1:3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18</v>
      </c>
      <c r="F249" s="54" t="s">
        <v>18</v>
      </c>
      <c r="G249" s="54" t="s">
        <v>18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18</v>
      </c>
      <c r="R249" s="170"/>
      <c r="S249" s="163"/>
      <c r="T249" s="1">
        <v>0</v>
      </c>
      <c r="U249" s="1">
        <f>2901-2.9</f>
        <v>2898.1</v>
      </c>
      <c r="V249" s="1">
        <f>1721.3-1721.3</f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2"/>
        <v>2898.1</v>
      </c>
      <c r="AB249" s="58">
        <v>2019</v>
      </c>
      <c r="AC249" s="124"/>
      <c r="AD249" s="101"/>
      <c r="AE249" s="101"/>
    </row>
    <row r="250" spans="1:3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18</v>
      </c>
      <c r="F250" s="54" t="s">
        <v>18</v>
      </c>
      <c r="G250" s="54" t="s">
        <v>18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18</v>
      </c>
      <c r="R250" s="170"/>
      <c r="S250" s="163"/>
      <c r="T250" s="1">
        <v>0</v>
      </c>
      <c r="U250" s="1">
        <f>2375.1-28.2</f>
        <v>2346.9</v>
      </c>
      <c r="V250" s="1">
        <f>1518.9+1643.8-147.5</f>
        <v>3015.2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2"/>
        <v>5362.1</v>
      </c>
      <c r="AB250" s="58">
        <v>2020</v>
      </c>
      <c r="AC250" s="124"/>
      <c r="AD250" s="101"/>
      <c r="AE250" s="101"/>
    </row>
    <row r="251" spans="1:3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18</v>
      </c>
      <c r="F251" s="54" t="s">
        <v>18</v>
      </c>
      <c r="G251" s="54" t="s">
        <v>18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43</v>
      </c>
      <c r="O251" s="54" t="s">
        <v>18</v>
      </c>
      <c r="P251" s="54" t="s">
        <v>18</v>
      </c>
      <c r="Q251" s="54" t="s">
        <v>18</v>
      </c>
      <c r="R251" s="170"/>
      <c r="S251" s="163"/>
      <c r="T251" s="1">
        <v>0</v>
      </c>
      <c r="U251" s="1">
        <v>0</v>
      </c>
      <c r="V251" s="1">
        <v>0</v>
      </c>
      <c r="W251" s="1">
        <f>600-33</f>
        <v>567</v>
      </c>
      <c r="X251" s="1">
        <v>1357.3</v>
      </c>
      <c r="Y251" s="1">
        <v>0</v>
      </c>
      <c r="Z251" s="1">
        <v>0</v>
      </c>
      <c r="AA251" s="59">
        <f t="shared" si="92"/>
        <v>1924.3</v>
      </c>
      <c r="AB251" s="58">
        <v>2022</v>
      </c>
      <c r="AC251" s="124"/>
      <c r="AD251" s="101"/>
      <c r="AE251" s="101"/>
    </row>
    <row r="252" spans="1:3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18</v>
      </c>
      <c r="F252" s="54" t="s">
        <v>18</v>
      </c>
      <c r="G252" s="54" t="s">
        <v>18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19</v>
      </c>
      <c r="N252" s="54" t="s">
        <v>43</v>
      </c>
      <c r="O252" s="54" t="s">
        <v>18</v>
      </c>
      <c r="P252" s="54" t="s">
        <v>18</v>
      </c>
      <c r="Q252" s="54" t="s">
        <v>18</v>
      </c>
      <c r="R252" s="170"/>
      <c r="S252" s="163"/>
      <c r="T252" s="1">
        <v>0</v>
      </c>
      <c r="U252" s="1">
        <v>0</v>
      </c>
      <c r="V252" s="1">
        <v>0</v>
      </c>
      <c r="W252" s="1">
        <v>600</v>
      </c>
      <c r="X252" s="1">
        <v>2659.4</v>
      </c>
      <c r="Y252" s="1">
        <v>0</v>
      </c>
      <c r="Z252" s="1">
        <v>0</v>
      </c>
      <c r="AA252" s="59">
        <f t="shared" si="92"/>
        <v>3259.4</v>
      </c>
      <c r="AB252" s="58">
        <v>2022</v>
      </c>
      <c r="AC252" s="124"/>
      <c r="AD252" s="101"/>
      <c r="AE252" s="101"/>
    </row>
    <row r="253" spans="1:3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18</v>
      </c>
      <c r="F253" s="54" t="s">
        <v>18</v>
      </c>
      <c r="G253" s="54" t="s">
        <v>18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37</v>
      </c>
      <c r="N253" s="54" t="s">
        <v>43</v>
      </c>
      <c r="O253" s="54" t="s">
        <v>46</v>
      </c>
      <c r="P253" s="54" t="s">
        <v>18</v>
      </c>
      <c r="Q253" s="54" t="s">
        <v>18</v>
      </c>
      <c r="R253" s="171"/>
      <c r="S253" s="164"/>
      <c r="T253" s="1">
        <v>0</v>
      </c>
      <c r="U253" s="1">
        <v>0</v>
      </c>
      <c r="V253" s="1">
        <v>0</v>
      </c>
      <c r="W253" s="1">
        <v>659.6</v>
      </c>
      <c r="X253" s="1">
        <v>1302.2</v>
      </c>
      <c r="Y253" s="1">
        <v>0</v>
      </c>
      <c r="Z253" s="1">
        <v>0</v>
      </c>
      <c r="AA253" s="59">
        <f>SUM(T253:Z253)</f>
        <v>1961.8000000000002</v>
      </c>
      <c r="AB253" s="58">
        <v>2022</v>
      </c>
      <c r="AC253" s="124"/>
      <c r="AD253" s="101"/>
      <c r="AE253" s="101"/>
    </row>
    <row r="254" spans="1:31" ht="47.25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78" t="s">
        <v>256</v>
      </c>
      <c r="S254" s="62" t="s">
        <v>52</v>
      </c>
      <c r="T254" s="3">
        <v>8.8000000000000007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6">
        <f>SUM(T254:Z254)</f>
        <v>8.8000000000000007</v>
      </c>
      <c r="AB254" s="41">
        <v>2018</v>
      </c>
      <c r="AC254" s="128"/>
      <c r="AD254" s="101"/>
      <c r="AE254" s="101"/>
    </row>
    <row r="255" spans="1:31" ht="47.2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80" t="s">
        <v>299</v>
      </c>
      <c r="S255" s="62" t="s">
        <v>52</v>
      </c>
      <c r="T255" s="3">
        <v>0</v>
      </c>
      <c r="U255" s="3">
        <v>1</v>
      </c>
      <c r="V255" s="3">
        <v>1.1000000000000001</v>
      </c>
      <c r="W255" s="3">
        <v>0.9</v>
      </c>
      <c r="X255" s="3">
        <v>1.1000000000000001</v>
      </c>
      <c r="Y255" s="3">
        <v>0</v>
      </c>
      <c r="Z255" s="3">
        <v>0</v>
      </c>
      <c r="AA255" s="6">
        <f t="shared" ref="AA255" si="93">SUM(T255:Z255)</f>
        <v>4.0999999999999996</v>
      </c>
      <c r="AB255" s="41">
        <v>2022</v>
      </c>
      <c r="AC255" s="128"/>
      <c r="AD255" s="101"/>
      <c r="AE255" s="101"/>
    </row>
    <row r="256" spans="1:31" ht="47.2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78" t="s">
        <v>300</v>
      </c>
      <c r="S256" s="84" t="s">
        <v>50</v>
      </c>
      <c r="T256" s="44">
        <v>3</v>
      </c>
      <c r="U256" s="44">
        <v>6</v>
      </c>
      <c r="V256" s="44">
        <v>4</v>
      </c>
      <c r="W256" s="44">
        <v>1</v>
      </c>
      <c r="X256" s="44">
        <v>2</v>
      </c>
      <c r="Y256" s="44">
        <v>0</v>
      </c>
      <c r="Z256" s="44">
        <v>0</v>
      </c>
      <c r="AA256" s="49">
        <f>SUM(T256:Z256)</f>
        <v>16</v>
      </c>
      <c r="AB256" s="41">
        <v>2022</v>
      </c>
      <c r="AC256" s="128"/>
      <c r="AD256" s="101"/>
      <c r="AE256" s="101"/>
    </row>
    <row r="257" spans="1:31" ht="15.6" hidden="1" customHeight="1" x14ac:dyDescent="0.2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168" t="s">
        <v>180</v>
      </c>
      <c r="S257" s="63" t="s">
        <v>0</v>
      </c>
      <c r="T257" s="1">
        <f>SUM(T258:T260)</f>
        <v>998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ref="AA257:AA361" si="94">SUM(T257:Y257)</f>
        <v>998</v>
      </c>
      <c r="AB257" s="58">
        <v>2018</v>
      </c>
      <c r="AC257" s="87"/>
      <c r="AD257" s="101">
        <f>T258+T263+T268+T274+T280+T287+T305+T311+T316+T321+T326+T331+T350+T356+T363+T370+T377+T384+T391+T398+T405+T412+T418+T424+T443+T449+T455+T461+T467+T473+T478+T484+T490+T496+T502</f>
        <v>9265.1149999999998</v>
      </c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19</v>
      </c>
      <c r="N258" s="54" t="s">
        <v>18</v>
      </c>
      <c r="O258" s="54" t="s">
        <v>24</v>
      </c>
      <c r="P258" s="54" t="s">
        <v>22</v>
      </c>
      <c r="Q258" s="54" t="s">
        <v>45</v>
      </c>
      <c r="R258" s="168"/>
      <c r="S258" s="63" t="s">
        <v>0</v>
      </c>
      <c r="T258" s="1">
        <v>399.2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4"/>
        <v>399.2</v>
      </c>
      <c r="AB258" s="58">
        <v>2018</v>
      </c>
      <c r="AC258" s="9"/>
      <c r="AD258" s="101">
        <f>T259+T264+T269+T270+T275+T276+T281+T282+T288+T289+T307+T312+T317+T322+T327+T332+T352+T351+T359+T358+T366+T365+T373+T372+T380+T379+T387+T386+T394+T393+T400+T401+T407+T414+T420+T426+T427+T444+T445+T450+T451+T456+T457+T462+T463+T468+T469+T474+T479+T480+T485+T486+T491+T492+T497+T498+T503+T504+T408</f>
        <v>4643.8</v>
      </c>
      <c r="AE258" s="101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37</v>
      </c>
      <c r="N259" s="54" t="s">
        <v>18</v>
      </c>
      <c r="O259" s="54" t="s">
        <v>24</v>
      </c>
      <c r="P259" s="54" t="s">
        <v>22</v>
      </c>
      <c r="Q259" s="54" t="s">
        <v>46</v>
      </c>
      <c r="R259" s="168"/>
      <c r="S259" s="63" t="s">
        <v>0</v>
      </c>
      <c r="T259" s="1">
        <v>199.6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4"/>
        <v>199.6</v>
      </c>
      <c r="AB259" s="58">
        <v>2018</v>
      </c>
      <c r="AC259" s="9"/>
      <c r="AD259" s="101">
        <f>T260+T265+T271+T277+T283+T290+T308+T313+T318+T323+T328+T333+T353+T360+T367+T374+T381+T388+T395+T402+T409+T415+T421+T428+T446+T452+T458+T464+T470+T475+T481+T487+T493+T499+T505</f>
        <v>9745.0000000000018</v>
      </c>
      <c r="AE259" s="101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21</v>
      </c>
      <c r="F260" s="54" t="s">
        <v>18</v>
      </c>
      <c r="G260" s="54" t="s">
        <v>22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37</v>
      </c>
      <c r="N260" s="54" t="s">
        <v>18</v>
      </c>
      <c r="O260" s="54" t="s">
        <v>24</v>
      </c>
      <c r="P260" s="54" t="s">
        <v>22</v>
      </c>
      <c r="Q260" s="54" t="s">
        <v>39</v>
      </c>
      <c r="R260" s="168"/>
      <c r="S260" s="63" t="s">
        <v>0</v>
      </c>
      <c r="T260" s="1">
        <v>399.2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4"/>
        <v>399.2</v>
      </c>
      <c r="AB260" s="58">
        <v>2018</v>
      </c>
      <c r="AC260" s="9"/>
      <c r="AD260" s="101">
        <f>T306+T357+T364+T371+T378+T385+T392+T399+T406+T413+T419+T425</f>
        <v>380</v>
      </c>
      <c r="AE260" s="101"/>
    </row>
    <row r="261" spans="1:31" ht="31.15" hidden="1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80" t="s">
        <v>181</v>
      </c>
      <c r="S261" s="84" t="s">
        <v>167</v>
      </c>
      <c r="T261" s="3">
        <v>8750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6">
        <f t="shared" si="94"/>
        <v>8750</v>
      </c>
      <c r="AB261" s="41">
        <v>2018</v>
      </c>
      <c r="AC261" s="9"/>
      <c r="AD261" s="101">
        <f>SUM(AD257:AD260)</f>
        <v>24033.915000000001</v>
      </c>
      <c r="AE261" s="101"/>
    </row>
    <row r="262" spans="1:31" ht="15.6" hidden="1" customHeight="1" x14ac:dyDescent="0.2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168" t="s">
        <v>182</v>
      </c>
      <c r="S262" s="63" t="s">
        <v>0</v>
      </c>
      <c r="T262" s="1">
        <f>SUM(T263:T265)</f>
        <v>150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4"/>
        <v>150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19</v>
      </c>
      <c r="N263" s="54" t="s">
        <v>18</v>
      </c>
      <c r="O263" s="54" t="s">
        <v>24</v>
      </c>
      <c r="P263" s="54" t="s">
        <v>22</v>
      </c>
      <c r="Q263" s="54" t="s">
        <v>45</v>
      </c>
      <c r="R263" s="168"/>
      <c r="S263" s="63" t="s">
        <v>0</v>
      </c>
      <c r="T263" s="1">
        <v>60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4"/>
        <v>60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46</v>
      </c>
      <c r="R264" s="168"/>
      <c r="S264" s="63" t="s">
        <v>0</v>
      </c>
      <c r="T264" s="1">
        <v>30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4"/>
        <v>30</v>
      </c>
      <c r="AB264" s="58">
        <v>2018</v>
      </c>
      <c r="AC264" s="9"/>
      <c r="AD264" s="101"/>
      <c r="AE264" s="101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39</v>
      </c>
      <c r="R265" s="168"/>
      <c r="S265" s="63" t="s">
        <v>0</v>
      </c>
      <c r="T265" s="1">
        <v>60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4"/>
        <v>60</v>
      </c>
      <c r="AB265" s="58">
        <v>2018</v>
      </c>
      <c r="AC265" s="9"/>
      <c r="AD265" s="101"/>
      <c r="AE265" s="101"/>
    </row>
    <row r="266" spans="1:31" ht="46.9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183</v>
      </c>
      <c r="S266" s="84" t="s">
        <v>50</v>
      </c>
      <c r="T266" s="44">
        <v>7</v>
      </c>
      <c r="U266" s="44">
        <v>0</v>
      </c>
      <c r="V266" s="44">
        <v>0</v>
      </c>
      <c r="W266" s="44">
        <v>0</v>
      </c>
      <c r="X266" s="44">
        <v>0</v>
      </c>
      <c r="Y266" s="44">
        <v>0</v>
      </c>
      <c r="Z266" s="44">
        <v>0</v>
      </c>
      <c r="AA266" s="49">
        <f t="shared" si="94"/>
        <v>7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68" t="s">
        <v>184</v>
      </c>
      <c r="S267" s="63" t="s">
        <v>0</v>
      </c>
      <c r="T267" s="1">
        <f>SUM(T268:T271)</f>
        <v>1031.5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4"/>
        <v>1031.5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21</v>
      </c>
      <c r="F268" s="54" t="s">
        <v>18</v>
      </c>
      <c r="G268" s="54" t="s">
        <v>22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68"/>
      <c r="S268" s="63" t="s">
        <v>0</v>
      </c>
      <c r="T268" s="1">
        <v>400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4"/>
        <v>400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68"/>
      <c r="S269" s="63" t="s">
        <v>0</v>
      </c>
      <c r="T269" s="1">
        <v>2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4"/>
        <v>2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8"/>
      <c r="S270" s="63" t="s">
        <v>0</v>
      </c>
      <c r="T270" s="1">
        <v>229.5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4"/>
        <v>229.5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68"/>
      <c r="S271" s="63" t="s">
        <v>0</v>
      </c>
      <c r="T271" s="1">
        <v>400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4"/>
        <v>400</v>
      </c>
      <c r="AB271" s="58">
        <v>2018</v>
      </c>
      <c r="AC271" s="9"/>
      <c r="AD271" s="101"/>
      <c r="AE271" s="101"/>
    </row>
    <row r="272" spans="1:31" ht="45.6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80" t="s">
        <v>185</v>
      </c>
      <c r="S272" s="84" t="s">
        <v>50</v>
      </c>
      <c r="T272" s="44">
        <v>44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9">
        <f t="shared" si="94"/>
        <v>44</v>
      </c>
      <c r="AB272" s="41">
        <v>2018</v>
      </c>
      <c r="AC272" s="9"/>
      <c r="AD272" s="101"/>
      <c r="AE272" s="101"/>
    </row>
    <row r="273" spans="1:31" ht="15.6" hidden="1" customHeight="1" x14ac:dyDescent="0.2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168" t="s">
        <v>186</v>
      </c>
      <c r="S273" s="63" t="s">
        <v>0</v>
      </c>
      <c r="T273" s="1">
        <f>SUM(T274:T277)</f>
        <v>613.5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59">
        <f t="shared" si="94"/>
        <v>613.5</v>
      </c>
      <c r="AB273" s="58">
        <v>2018</v>
      </c>
      <c r="AC273" s="9"/>
      <c r="AD273" s="101"/>
      <c r="AE273" s="101"/>
    </row>
    <row r="274" spans="1:31" ht="15.6" hidden="1" customHeight="1" x14ac:dyDescent="0.25">
      <c r="A274" s="54" t="s">
        <v>18</v>
      </c>
      <c r="B274" s="54" t="s">
        <v>18</v>
      </c>
      <c r="C274" s="54" t="s">
        <v>22</v>
      </c>
      <c r="D274" s="54" t="s">
        <v>18</v>
      </c>
      <c r="E274" s="54" t="s">
        <v>21</v>
      </c>
      <c r="F274" s="54" t="s">
        <v>18</v>
      </c>
      <c r="G274" s="54" t="s">
        <v>22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68"/>
      <c r="S274" s="63" t="s">
        <v>0</v>
      </c>
      <c r="T274" s="1">
        <v>245.4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4"/>
        <v>245.4</v>
      </c>
      <c r="AB274" s="58">
        <v>2018</v>
      </c>
      <c r="AC274" s="9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24</v>
      </c>
      <c r="P275" s="54" t="s">
        <v>22</v>
      </c>
      <c r="Q275" s="54" t="s">
        <v>46</v>
      </c>
      <c r="R275" s="168"/>
      <c r="S275" s="63" t="s">
        <v>0</v>
      </c>
      <c r="T275" s="1">
        <v>60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4"/>
        <v>60</v>
      </c>
      <c r="AB275" s="58">
        <v>2018</v>
      </c>
      <c r="AC275" s="9"/>
      <c r="AD275" s="101"/>
      <c r="AE275" s="101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8"/>
      <c r="S276" s="63" t="s">
        <v>0</v>
      </c>
      <c r="T276" s="1">
        <v>62.7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4"/>
        <v>62.7</v>
      </c>
      <c r="AB276" s="58">
        <v>2018</v>
      </c>
      <c r="AC276" s="9"/>
      <c r="AD276" s="101"/>
      <c r="AE276" s="101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68"/>
      <c r="S277" s="63" t="s">
        <v>0</v>
      </c>
      <c r="T277" s="1">
        <v>245.4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4"/>
        <v>245.4</v>
      </c>
      <c r="AB277" s="58">
        <v>2018</v>
      </c>
      <c r="AC277" s="9"/>
      <c r="AD277" s="101"/>
      <c r="AE277" s="101"/>
    </row>
    <row r="278" spans="1:31" ht="46.9" hidden="1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80" t="s">
        <v>187</v>
      </c>
      <c r="S278" s="84" t="s">
        <v>50</v>
      </c>
      <c r="T278" s="44">
        <v>26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9">
        <f t="shared" si="94"/>
        <v>26</v>
      </c>
      <c r="AB278" s="41">
        <v>2018</v>
      </c>
      <c r="AC278" s="9"/>
      <c r="AD278" s="101"/>
      <c r="AE278" s="101"/>
    </row>
    <row r="279" spans="1:31" ht="15.6" hidden="1" customHeight="1" x14ac:dyDescent="0.2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168" t="s">
        <v>188</v>
      </c>
      <c r="S279" s="63" t="s">
        <v>0</v>
      </c>
      <c r="T279" s="1">
        <f>SUM(T280:T283)</f>
        <v>194.7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4"/>
        <v>194.7</v>
      </c>
      <c r="AB279" s="58">
        <v>2018</v>
      </c>
      <c r="AC279" s="9"/>
      <c r="AD279" s="101"/>
      <c r="AE279" s="101"/>
    </row>
    <row r="280" spans="1:31" ht="15.6" hidden="1" customHeight="1" x14ac:dyDescent="0.25">
      <c r="A280" s="54" t="s">
        <v>18</v>
      </c>
      <c r="B280" s="54" t="s">
        <v>18</v>
      </c>
      <c r="C280" s="54" t="s">
        <v>22</v>
      </c>
      <c r="D280" s="54" t="s">
        <v>18</v>
      </c>
      <c r="E280" s="54" t="s">
        <v>21</v>
      </c>
      <c r="F280" s="54" t="s">
        <v>18</v>
      </c>
      <c r="G280" s="54" t="s">
        <v>22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19</v>
      </c>
      <c r="N280" s="54" t="s">
        <v>18</v>
      </c>
      <c r="O280" s="54" t="s">
        <v>24</v>
      </c>
      <c r="P280" s="54" t="s">
        <v>22</v>
      </c>
      <c r="Q280" s="54" t="s">
        <v>45</v>
      </c>
      <c r="R280" s="168"/>
      <c r="S280" s="63" t="s">
        <v>0</v>
      </c>
      <c r="T280" s="1">
        <v>77.3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4"/>
        <v>77.3</v>
      </c>
      <c r="AB280" s="58">
        <v>2018</v>
      </c>
      <c r="AC280" s="9"/>
      <c r="AD280" s="101"/>
      <c r="AE280" s="101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37</v>
      </c>
      <c r="N281" s="54" t="s">
        <v>18</v>
      </c>
      <c r="O281" s="54" t="s">
        <v>24</v>
      </c>
      <c r="P281" s="54" t="s">
        <v>22</v>
      </c>
      <c r="Q281" s="54" t="s">
        <v>46</v>
      </c>
      <c r="R281" s="168"/>
      <c r="S281" s="63" t="s">
        <v>0</v>
      </c>
      <c r="T281" s="1">
        <v>20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4"/>
        <v>20</v>
      </c>
      <c r="AB281" s="58">
        <v>2018</v>
      </c>
      <c r="AC281" s="9"/>
      <c r="AD281" s="101"/>
      <c r="AE281" s="101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8"/>
      <c r="S282" s="63" t="s">
        <v>0</v>
      </c>
      <c r="T282" s="1">
        <v>19.5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4"/>
        <v>19.5</v>
      </c>
      <c r="AB282" s="58">
        <v>2018</v>
      </c>
      <c r="AC282" s="9"/>
      <c r="AD282" s="101"/>
      <c r="AE282" s="101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39</v>
      </c>
      <c r="R283" s="168"/>
      <c r="S283" s="63" t="s">
        <v>0</v>
      </c>
      <c r="T283" s="1">
        <v>77.900000000000006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4"/>
        <v>77.900000000000006</v>
      </c>
      <c r="AB283" s="58">
        <v>2018</v>
      </c>
      <c r="AC283" s="9"/>
      <c r="AD283" s="101"/>
      <c r="AE283" s="101"/>
    </row>
    <row r="284" spans="1:31" s="72" customFormat="1" ht="31.15" hidden="1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189</v>
      </c>
      <c r="S284" s="52" t="s">
        <v>50</v>
      </c>
      <c r="T284" s="44">
        <v>1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49">
        <f t="shared" si="94"/>
        <v>1</v>
      </c>
      <c r="AB284" s="41">
        <v>2018</v>
      </c>
      <c r="AC284" s="70"/>
      <c r="AD284" s="85"/>
      <c r="AE284" s="85"/>
    </row>
    <row r="285" spans="1:31" ht="31.1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0" t="s">
        <v>190</v>
      </c>
      <c r="S285" s="84" t="s">
        <v>168</v>
      </c>
      <c r="T285" s="3">
        <v>15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6">
        <f t="shared" si="94"/>
        <v>15</v>
      </c>
      <c r="AB285" s="41">
        <v>2018</v>
      </c>
      <c r="AC285" s="9"/>
      <c r="AD285" s="101"/>
      <c r="AE285" s="101"/>
    </row>
    <row r="286" spans="1:31" ht="15.6" hidden="1" customHeight="1" x14ac:dyDescent="0.2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168" t="s">
        <v>191</v>
      </c>
      <c r="S286" s="63" t="s">
        <v>0</v>
      </c>
      <c r="T286" s="1">
        <f>SUM(T287:T290)</f>
        <v>119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4"/>
        <v>119</v>
      </c>
      <c r="AB286" s="58">
        <v>2018</v>
      </c>
      <c r="AC286" s="9"/>
      <c r="AD286" s="101"/>
      <c r="AE286" s="101"/>
    </row>
    <row r="287" spans="1:31" ht="15.6" hidden="1" customHeight="1" x14ac:dyDescent="0.25">
      <c r="A287" s="54" t="s">
        <v>18</v>
      </c>
      <c r="B287" s="54" t="s">
        <v>18</v>
      </c>
      <c r="C287" s="54" t="s">
        <v>22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19</v>
      </c>
      <c r="N287" s="54" t="s">
        <v>18</v>
      </c>
      <c r="O287" s="54" t="s">
        <v>24</v>
      </c>
      <c r="P287" s="54" t="s">
        <v>22</v>
      </c>
      <c r="Q287" s="54" t="s">
        <v>45</v>
      </c>
      <c r="R287" s="168"/>
      <c r="S287" s="63" t="s">
        <v>0</v>
      </c>
      <c r="T287" s="1">
        <v>47.6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4"/>
        <v>47.6</v>
      </c>
      <c r="AB287" s="58">
        <v>2018</v>
      </c>
      <c r="AC287" s="9"/>
      <c r="AD287" s="101"/>
      <c r="AE287" s="101"/>
    </row>
    <row r="288" spans="1:31" ht="15.6" hidden="1" customHeight="1" x14ac:dyDescent="0.25">
      <c r="A288" s="54" t="s">
        <v>18</v>
      </c>
      <c r="B288" s="54" t="s">
        <v>18</v>
      </c>
      <c r="C288" s="54" t="s">
        <v>22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68"/>
      <c r="S288" s="63" t="s">
        <v>0</v>
      </c>
      <c r="T288" s="1">
        <v>11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4"/>
        <v>11</v>
      </c>
      <c r="AB288" s="58">
        <v>2018</v>
      </c>
      <c r="AC288" s="9"/>
      <c r="AD288" s="101"/>
      <c r="AE288" s="101"/>
    </row>
    <row r="289" spans="1:31" ht="15.6" hidden="1" customHeight="1" x14ac:dyDescent="0.25">
      <c r="A289" s="54" t="s">
        <v>18</v>
      </c>
      <c r="B289" s="54" t="s">
        <v>18</v>
      </c>
      <c r="C289" s="54" t="s">
        <v>22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8"/>
      <c r="S289" s="63" t="s">
        <v>0</v>
      </c>
      <c r="T289" s="1">
        <v>12.8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4"/>
        <v>12.8</v>
      </c>
      <c r="AB289" s="58">
        <v>2018</v>
      </c>
      <c r="AC289" s="9"/>
      <c r="AD289" s="101"/>
      <c r="AE289" s="101"/>
    </row>
    <row r="290" spans="1:31" ht="15.6" hidden="1" customHeight="1" x14ac:dyDescent="0.25">
      <c r="A290" s="54" t="s">
        <v>18</v>
      </c>
      <c r="B290" s="54" t="s">
        <v>18</v>
      </c>
      <c r="C290" s="54" t="s">
        <v>22</v>
      </c>
      <c r="D290" s="54" t="s">
        <v>18</v>
      </c>
      <c r="E290" s="54" t="s">
        <v>24</v>
      </c>
      <c r="F290" s="54" t="s">
        <v>18</v>
      </c>
      <c r="G290" s="54" t="s">
        <v>43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39</v>
      </c>
      <c r="R290" s="168"/>
      <c r="S290" s="63" t="s">
        <v>0</v>
      </c>
      <c r="T290" s="1">
        <v>47.6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4"/>
        <v>47.6</v>
      </c>
      <c r="AB290" s="58">
        <v>2018</v>
      </c>
      <c r="AC290" s="9"/>
      <c r="AD290" s="101"/>
      <c r="AE290" s="101"/>
    </row>
    <row r="291" spans="1:31" s="72" customFormat="1" ht="46.9" hidden="1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78" t="s">
        <v>192</v>
      </c>
      <c r="S291" s="89" t="s">
        <v>167</v>
      </c>
      <c r="T291" s="3">
        <v>65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49">
        <f t="shared" si="94"/>
        <v>65</v>
      </c>
      <c r="AB291" s="41">
        <v>2018</v>
      </c>
      <c r="AC291" s="70"/>
      <c r="AD291" s="85"/>
      <c r="AE291" s="85"/>
    </row>
    <row r="292" spans="1:31" ht="15.6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18</v>
      </c>
      <c r="F292" s="54" t="s">
        <v>18</v>
      </c>
      <c r="G292" s="54" t="s">
        <v>18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18</v>
      </c>
      <c r="N292" s="54" t="s">
        <v>18</v>
      </c>
      <c r="O292" s="54" t="s">
        <v>18</v>
      </c>
      <c r="P292" s="54" t="s">
        <v>18</v>
      </c>
      <c r="Q292" s="54" t="s">
        <v>18</v>
      </c>
      <c r="R292" s="169" t="s">
        <v>133</v>
      </c>
      <c r="S292" s="162" t="s">
        <v>0</v>
      </c>
      <c r="T292" s="59">
        <f>SUM(T293:T296)</f>
        <v>3440.1</v>
      </c>
      <c r="U292" s="59">
        <f>SUM(U295:U298)</f>
        <v>3636.2999999999997</v>
      </c>
      <c r="V292" s="59">
        <f>SUM(V293:V298)</f>
        <v>1375.3</v>
      </c>
      <c r="W292" s="59">
        <f>SUM(W293:W301)</f>
        <v>7141.3</v>
      </c>
      <c r="X292" s="59">
        <f t="shared" ref="X292:Z292" si="95">SUM(X293:X301)</f>
        <v>909.7</v>
      </c>
      <c r="Y292" s="59">
        <f t="shared" si="95"/>
        <v>0</v>
      </c>
      <c r="Z292" s="59">
        <f t="shared" si="95"/>
        <v>0</v>
      </c>
      <c r="AA292" s="59">
        <f>SUM(T292:Z292)</f>
        <v>16502.7</v>
      </c>
      <c r="AB292" s="58">
        <v>2022</v>
      </c>
      <c r="AC292" s="124"/>
      <c r="AD292" s="101"/>
      <c r="AE292" s="101"/>
    </row>
    <row r="293" spans="1:3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19</v>
      </c>
      <c r="N293" s="54" t="s">
        <v>18</v>
      </c>
      <c r="O293" s="54" t="s">
        <v>24</v>
      </c>
      <c r="P293" s="54" t="s">
        <v>22</v>
      </c>
      <c r="Q293" s="54" t="s">
        <v>45</v>
      </c>
      <c r="R293" s="170"/>
      <c r="S293" s="163"/>
      <c r="T293" s="1">
        <f>T305+T311+T316+T321+T326+T331</f>
        <v>1609.7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 t="shared" ref="AA293:AA301" si="96">SUM(T293:Z293)</f>
        <v>1609.7</v>
      </c>
      <c r="AB293" s="58">
        <v>2018</v>
      </c>
      <c r="AC293" s="124"/>
      <c r="AD293" s="101"/>
      <c r="AE293" s="101"/>
    </row>
    <row r="294" spans="1:31" ht="15.6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43</v>
      </c>
      <c r="P294" s="54" t="s">
        <v>22</v>
      </c>
      <c r="Q294" s="54" t="s">
        <v>170</v>
      </c>
      <c r="R294" s="170"/>
      <c r="S294" s="163"/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si="96"/>
        <v>0</v>
      </c>
      <c r="AB294" s="58">
        <v>2018</v>
      </c>
      <c r="AC294" s="124"/>
      <c r="AD294" s="101"/>
      <c r="AE294" s="101"/>
    </row>
    <row r="295" spans="1:3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18</v>
      </c>
      <c r="O295" s="54" t="s">
        <v>24</v>
      </c>
      <c r="P295" s="54" t="s">
        <v>22</v>
      </c>
      <c r="Q295" s="54" t="s">
        <v>46</v>
      </c>
      <c r="R295" s="170"/>
      <c r="S295" s="163"/>
      <c r="T295" s="1">
        <f>T307+T312+T317+T322+T327+T332</f>
        <v>441.79999999999995</v>
      </c>
      <c r="U295" s="1">
        <v>394.2</v>
      </c>
      <c r="V295" s="1">
        <v>235.1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96"/>
        <v>1071.0999999999999</v>
      </c>
      <c r="AB295" s="58">
        <v>2020</v>
      </c>
      <c r="AC295" s="124"/>
      <c r="AD295" s="101"/>
      <c r="AE295" s="101"/>
    </row>
    <row r="296" spans="1:3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18</v>
      </c>
      <c r="F296" s="54" t="s">
        <v>18</v>
      </c>
      <c r="G296" s="54" t="s">
        <v>18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37</v>
      </c>
      <c r="N296" s="54" t="s">
        <v>18</v>
      </c>
      <c r="O296" s="54" t="s">
        <v>24</v>
      </c>
      <c r="P296" s="54" t="s">
        <v>22</v>
      </c>
      <c r="Q296" s="54" t="s">
        <v>39</v>
      </c>
      <c r="R296" s="170"/>
      <c r="S296" s="163"/>
      <c r="T296" s="1">
        <v>1388.6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96"/>
        <v>1388.6</v>
      </c>
      <c r="AB296" s="58">
        <v>2018</v>
      </c>
      <c r="AC296" s="124"/>
      <c r="AD296" s="101"/>
      <c r="AE296" s="101"/>
    </row>
    <row r="297" spans="1:3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18</v>
      </c>
      <c r="F297" s="54" t="s">
        <v>18</v>
      </c>
      <c r="G297" s="54" t="s">
        <v>18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18</v>
      </c>
      <c r="R297" s="170"/>
      <c r="S297" s="163"/>
      <c r="T297" s="1">
        <v>0</v>
      </c>
      <c r="U297" s="1">
        <f>1865.4-95.4</f>
        <v>1770</v>
      </c>
      <c r="V297" s="1">
        <f>600-600</f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6"/>
        <v>1770</v>
      </c>
      <c r="AB297" s="58">
        <v>2019</v>
      </c>
      <c r="AC297" s="124"/>
      <c r="AD297" s="101"/>
      <c r="AE297" s="101"/>
    </row>
    <row r="298" spans="1:3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18</v>
      </c>
      <c r="F298" s="54" t="s">
        <v>18</v>
      </c>
      <c r="G298" s="54" t="s">
        <v>18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18</v>
      </c>
      <c r="R298" s="170"/>
      <c r="S298" s="163"/>
      <c r="T298" s="1">
        <v>0</v>
      </c>
      <c r="U298" s="1">
        <v>1472.1</v>
      </c>
      <c r="V298" s="1">
        <f>540.2+600</f>
        <v>1140.2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6"/>
        <v>2612.3000000000002</v>
      </c>
      <c r="AB298" s="58">
        <v>2020</v>
      </c>
      <c r="AC298" s="124"/>
      <c r="AD298" s="101"/>
      <c r="AE298" s="101"/>
    </row>
    <row r="299" spans="1:3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18</v>
      </c>
      <c r="F299" s="54" t="s">
        <v>18</v>
      </c>
      <c r="G299" s="54" t="s">
        <v>18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43</v>
      </c>
      <c r="O299" s="54" t="s">
        <v>18</v>
      </c>
      <c r="P299" s="54" t="s">
        <v>18</v>
      </c>
      <c r="Q299" s="54" t="s">
        <v>18</v>
      </c>
      <c r="R299" s="170"/>
      <c r="S299" s="163"/>
      <c r="T299" s="1">
        <v>0</v>
      </c>
      <c r="U299" s="1">
        <v>0</v>
      </c>
      <c r="V299" s="1">
        <v>0</v>
      </c>
      <c r="W299" s="1">
        <v>2000.4</v>
      </c>
      <c r="X299" s="1">
        <v>530.5</v>
      </c>
      <c r="Y299" s="1">
        <v>0</v>
      </c>
      <c r="Z299" s="1">
        <v>0</v>
      </c>
      <c r="AA299" s="59">
        <f t="shared" si="96"/>
        <v>2530.9</v>
      </c>
      <c r="AB299" s="58">
        <v>2022</v>
      </c>
      <c r="AC299" s="124"/>
      <c r="AD299" s="101"/>
      <c r="AE299" s="101"/>
    </row>
    <row r="300" spans="1:3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18</v>
      </c>
      <c r="F300" s="54" t="s">
        <v>18</v>
      </c>
      <c r="G300" s="54" t="s">
        <v>18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19</v>
      </c>
      <c r="N300" s="54" t="s">
        <v>43</v>
      </c>
      <c r="O300" s="54" t="s">
        <v>18</v>
      </c>
      <c r="P300" s="54" t="s">
        <v>18</v>
      </c>
      <c r="Q300" s="54" t="s">
        <v>18</v>
      </c>
      <c r="R300" s="170"/>
      <c r="S300" s="163"/>
      <c r="T300" s="1">
        <v>0</v>
      </c>
      <c r="U300" s="1">
        <v>0</v>
      </c>
      <c r="V300" s="1">
        <v>0</v>
      </c>
      <c r="W300" s="1">
        <v>4045.4</v>
      </c>
      <c r="X300" s="1">
        <v>305.2</v>
      </c>
      <c r="Y300" s="1">
        <v>0</v>
      </c>
      <c r="Z300" s="1">
        <v>0</v>
      </c>
      <c r="AA300" s="59">
        <f t="shared" si="96"/>
        <v>4350.6000000000004</v>
      </c>
      <c r="AB300" s="58">
        <v>2022</v>
      </c>
      <c r="AC300" s="124"/>
      <c r="AD300" s="101"/>
      <c r="AE300" s="101"/>
    </row>
    <row r="301" spans="1:3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18</v>
      </c>
      <c r="F301" s="54" t="s">
        <v>18</v>
      </c>
      <c r="G301" s="54" t="s">
        <v>18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37</v>
      </c>
      <c r="N301" s="54" t="s">
        <v>43</v>
      </c>
      <c r="O301" s="54" t="s">
        <v>46</v>
      </c>
      <c r="P301" s="54" t="s">
        <v>18</v>
      </c>
      <c r="Q301" s="54" t="s">
        <v>18</v>
      </c>
      <c r="R301" s="171"/>
      <c r="S301" s="164"/>
      <c r="T301" s="1">
        <v>0</v>
      </c>
      <c r="U301" s="1">
        <v>0</v>
      </c>
      <c r="V301" s="1">
        <v>0</v>
      </c>
      <c r="W301" s="1">
        <v>1095.5</v>
      </c>
      <c r="X301" s="1">
        <v>74</v>
      </c>
      <c r="Y301" s="1">
        <v>0</v>
      </c>
      <c r="Z301" s="1">
        <v>0</v>
      </c>
      <c r="AA301" s="59">
        <f t="shared" si="96"/>
        <v>1169.5</v>
      </c>
      <c r="AB301" s="58">
        <v>2022</v>
      </c>
      <c r="AC301" s="124"/>
      <c r="AD301" s="101"/>
      <c r="AE301" s="101"/>
    </row>
    <row r="302" spans="1:31" ht="47.25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80" t="s">
        <v>301</v>
      </c>
      <c r="S302" s="62" t="s">
        <v>52</v>
      </c>
      <c r="T302" s="3">
        <v>0.2</v>
      </c>
      <c r="U302" s="3">
        <v>1.2</v>
      </c>
      <c r="V302" s="3">
        <v>0</v>
      </c>
      <c r="W302" s="3">
        <v>1.1000000000000001</v>
      </c>
      <c r="X302" s="3">
        <v>0</v>
      </c>
      <c r="Y302" s="3">
        <v>0</v>
      </c>
      <c r="Z302" s="3">
        <v>0</v>
      </c>
      <c r="AA302" s="6">
        <f t="shared" si="94"/>
        <v>2.5</v>
      </c>
      <c r="AB302" s="41">
        <v>2021</v>
      </c>
      <c r="AC302" s="128"/>
      <c r="AD302" s="101"/>
      <c r="AE302" s="101"/>
    </row>
    <row r="303" spans="1:31" ht="47.2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0" t="s">
        <v>302</v>
      </c>
      <c r="S303" s="84" t="s">
        <v>50</v>
      </c>
      <c r="T303" s="44">
        <v>6</v>
      </c>
      <c r="U303" s="44">
        <v>5</v>
      </c>
      <c r="V303" s="44">
        <v>1</v>
      </c>
      <c r="W303" s="44">
        <v>8</v>
      </c>
      <c r="X303" s="44">
        <v>1</v>
      </c>
      <c r="Y303" s="44">
        <v>0</v>
      </c>
      <c r="Z303" s="44">
        <v>0</v>
      </c>
      <c r="AA303" s="49">
        <f t="shared" si="94"/>
        <v>21</v>
      </c>
      <c r="AB303" s="41">
        <v>2022</v>
      </c>
      <c r="AC303" s="128"/>
      <c r="AD303" s="101"/>
      <c r="AE303" s="101"/>
    </row>
    <row r="304" spans="1:31" ht="16.350000000000001" hidden="1" customHeight="1" x14ac:dyDescent="0.2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168" t="s">
        <v>193</v>
      </c>
      <c r="S304" s="63" t="s">
        <v>0</v>
      </c>
      <c r="T304" s="1">
        <f>SUM(T305:T308)</f>
        <v>943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943</v>
      </c>
      <c r="AB304" s="58">
        <v>2018</v>
      </c>
      <c r="AC304" s="9"/>
      <c r="AD304" s="101"/>
      <c r="AE304" s="101"/>
    </row>
    <row r="305" spans="1:31" ht="16.350000000000001" hidden="1" customHeight="1" x14ac:dyDescent="0.25">
      <c r="A305" s="54" t="s">
        <v>18</v>
      </c>
      <c r="B305" s="54" t="s">
        <v>18</v>
      </c>
      <c r="C305" s="54" t="s">
        <v>24</v>
      </c>
      <c r="D305" s="54" t="s">
        <v>18</v>
      </c>
      <c r="E305" s="54" t="s">
        <v>24</v>
      </c>
      <c r="F305" s="54" t="s">
        <v>18</v>
      </c>
      <c r="G305" s="54" t="s">
        <v>43</v>
      </c>
      <c r="H305" s="54" t="s">
        <v>19</v>
      </c>
      <c r="I305" s="54" t="s">
        <v>24</v>
      </c>
      <c r="J305" s="54" t="s">
        <v>18</v>
      </c>
      <c r="K305" s="54" t="s">
        <v>18</v>
      </c>
      <c r="L305" s="54" t="s">
        <v>20</v>
      </c>
      <c r="M305" s="54" t="s">
        <v>19</v>
      </c>
      <c r="N305" s="54" t="s">
        <v>18</v>
      </c>
      <c r="O305" s="54" t="s">
        <v>24</v>
      </c>
      <c r="P305" s="54" t="s">
        <v>22</v>
      </c>
      <c r="Q305" s="54" t="s">
        <v>45</v>
      </c>
      <c r="R305" s="168"/>
      <c r="S305" s="63" t="s">
        <v>0</v>
      </c>
      <c r="T305" s="1">
        <v>377.2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 t="shared" si="94"/>
        <v>377.2</v>
      </c>
      <c r="AB305" s="58">
        <v>2018</v>
      </c>
      <c r="AC305" s="9"/>
      <c r="AD305" s="101"/>
      <c r="AE305" s="101"/>
    </row>
    <row r="306" spans="1:31" ht="16.350000000000001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24</v>
      </c>
      <c r="F306" s="54" t="s">
        <v>18</v>
      </c>
      <c r="G306" s="54" t="s">
        <v>43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37</v>
      </c>
      <c r="N306" s="54" t="s">
        <v>18</v>
      </c>
      <c r="O306" s="54" t="s">
        <v>43</v>
      </c>
      <c r="P306" s="54" t="s">
        <v>22</v>
      </c>
      <c r="Q306" s="54" t="s">
        <v>170</v>
      </c>
      <c r="R306" s="168"/>
      <c r="S306" s="63" t="s">
        <v>0</v>
      </c>
      <c r="T306" s="1">
        <v>30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30</v>
      </c>
      <c r="AB306" s="58">
        <v>2018</v>
      </c>
      <c r="AC306" s="9"/>
      <c r="AD306" s="101"/>
      <c r="AE306" s="101"/>
    </row>
    <row r="307" spans="1:31" ht="16.350000000000001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24</v>
      </c>
      <c r="F307" s="54" t="s">
        <v>18</v>
      </c>
      <c r="G307" s="54" t="s">
        <v>43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24</v>
      </c>
      <c r="P307" s="54" t="s">
        <v>22</v>
      </c>
      <c r="Q307" s="54" t="s">
        <v>46</v>
      </c>
      <c r="R307" s="168"/>
      <c r="S307" s="63" t="s">
        <v>0</v>
      </c>
      <c r="T307" s="1">
        <v>113.2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113.2</v>
      </c>
      <c r="AB307" s="58">
        <v>2018</v>
      </c>
      <c r="AC307" s="9"/>
      <c r="AD307" s="101"/>
      <c r="AE307" s="101"/>
    </row>
    <row r="308" spans="1:31" ht="16.350000000000001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24</v>
      </c>
      <c r="F308" s="54" t="s">
        <v>18</v>
      </c>
      <c r="G308" s="54" t="s">
        <v>43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39</v>
      </c>
      <c r="R308" s="168"/>
      <c r="S308" s="63" t="s">
        <v>0</v>
      </c>
      <c r="T308" s="1">
        <v>422.6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422.6</v>
      </c>
      <c r="AB308" s="58">
        <v>2018</v>
      </c>
      <c r="AC308" s="9"/>
      <c r="AD308" s="101"/>
      <c r="AE308" s="101"/>
    </row>
    <row r="309" spans="1:31" ht="33.6" hidden="1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88" t="s">
        <v>194</v>
      </c>
      <c r="S309" s="84" t="s">
        <v>167</v>
      </c>
      <c r="T309" s="3">
        <v>1046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6">
        <f t="shared" si="94"/>
        <v>1046</v>
      </c>
      <c r="AB309" s="41">
        <v>2018</v>
      </c>
      <c r="AC309" s="9"/>
      <c r="AD309" s="101"/>
      <c r="AE309" s="101"/>
    </row>
    <row r="310" spans="1:31" ht="21.75" hidden="1" customHeight="1" x14ac:dyDescent="0.2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168" t="s">
        <v>195</v>
      </c>
      <c r="S310" s="63" t="s">
        <v>0</v>
      </c>
      <c r="T310" s="1">
        <f>SUM(T311:T313)</f>
        <v>835.4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>SUM(T310:Y310)</f>
        <v>835.4</v>
      </c>
      <c r="AB310" s="58">
        <v>2018</v>
      </c>
      <c r="AC310" s="9"/>
      <c r="AD310" s="101"/>
      <c r="AE310" s="101"/>
    </row>
    <row r="311" spans="1:31" ht="22.9" hidden="1" customHeight="1" x14ac:dyDescent="0.25">
      <c r="A311" s="54" t="s">
        <v>18</v>
      </c>
      <c r="B311" s="54" t="s">
        <v>18</v>
      </c>
      <c r="C311" s="54" t="s">
        <v>24</v>
      </c>
      <c r="D311" s="54" t="s">
        <v>18</v>
      </c>
      <c r="E311" s="54" t="s">
        <v>21</v>
      </c>
      <c r="F311" s="54" t="s">
        <v>18</v>
      </c>
      <c r="G311" s="54" t="s">
        <v>22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19</v>
      </c>
      <c r="N311" s="54" t="s">
        <v>18</v>
      </c>
      <c r="O311" s="54" t="s">
        <v>24</v>
      </c>
      <c r="P311" s="54" t="s">
        <v>22</v>
      </c>
      <c r="Q311" s="54" t="s">
        <v>45</v>
      </c>
      <c r="R311" s="168"/>
      <c r="S311" s="63" t="s">
        <v>0</v>
      </c>
      <c r="T311" s="1">
        <v>334.2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>SUM(T311:Y311)</f>
        <v>334.2</v>
      </c>
      <c r="AB311" s="58">
        <v>2018</v>
      </c>
      <c r="AC311" s="9"/>
      <c r="AD311" s="101"/>
      <c r="AE311" s="101"/>
    </row>
    <row r="312" spans="1:31" ht="22.15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37</v>
      </c>
      <c r="N312" s="54" t="s">
        <v>18</v>
      </c>
      <c r="O312" s="54" t="s">
        <v>24</v>
      </c>
      <c r="P312" s="54" t="s">
        <v>22</v>
      </c>
      <c r="Q312" s="54" t="s">
        <v>46</v>
      </c>
      <c r="R312" s="168"/>
      <c r="S312" s="63" t="s">
        <v>0</v>
      </c>
      <c r="T312" s="1">
        <v>83.5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>SUM(T312:Y312)</f>
        <v>83.5</v>
      </c>
      <c r="AB312" s="58">
        <v>2018</v>
      </c>
      <c r="AC312" s="9"/>
      <c r="AD312" s="101"/>
      <c r="AE312" s="101"/>
    </row>
    <row r="313" spans="1:31" ht="21.75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39</v>
      </c>
      <c r="R313" s="168"/>
      <c r="S313" s="63" t="s">
        <v>0</v>
      </c>
      <c r="T313" s="1">
        <v>417.7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>SUM(T313:Y313)</f>
        <v>417.7</v>
      </c>
      <c r="AB313" s="58">
        <v>2018</v>
      </c>
      <c r="AC313" s="9"/>
      <c r="AD313" s="101"/>
      <c r="AE313" s="101"/>
    </row>
    <row r="314" spans="1:31" ht="47.45" hidden="1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8" t="s">
        <v>196</v>
      </c>
      <c r="S314" s="84" t="s">
        <v>8</v>
      </c>
      <c r="T314" s="44">
        <v>1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6">
        <f>SUM(T314:Y314)</f>
        <v>1</v>
      </c>
      <c r="AB314" s="41">
        <v>2018</v>
      </c>
      <c r="AC314" s="9"/>
      <c r="AD314" s="101"/>
      <c r="AE314" s="101"/>
    </row>
    <row r="315" spans="1:31" ht="16.350000000000001" hidden="1" customHeight="1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168" t="s">
        <v>197</v>
      </c>
      <c r="S315" s="63" t="s">
        <v>0</v>
      </c>
      <c r="T315" s="1">
        <f>SUM(T316:T318)</f>
        <v>952.5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9">
        <f t="shared" ref="AA315:AA348" si="97">SUM(T315:Y315)</f>
        <v>952.5</v>
      </c>
      <c r="AB315" s="58">
        <v>2018</v>
      </c>
      <c r="AC315" s="9"/>
      <c r="AD315" s="101"/>
      <c r="AE315" s="101"/>
    </row>
    <row r="316" spans="1:31" ht="16.350000000000001" hidden="1" customHeight="1" x14ac:dyDescent="0.25">
      <c r="A316" s="54" t="s">
        <v>18</v>
      </c>
      <c r="B316" s="54" t="s">
        <v>18</v>
      </c>
      <c r="C316" s="54" t="s">
        <v>24</v>
      </c>
      <c r="D316" s="54" t="s">
        <v>18</v>
      </c>
      <c r="E316" s="54" t="s">
        <v>21</v>
      </c>
      <c r="F316" s="54" t="s">
        <v>18</v>
      </c>
      <c r="G316" s="54" t="s">
        <v>22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19</v>
      </c>
      <c r="N316" s="54" t="s">
        <v>18</v>
      </c>
      <c r="O316" s="54" t="s">
        <v>24</v>
      </c>
      <c r="P316" s="54" t="s">
        <v>22</v>
      </c>
      <c r="Q316" s="54" t="s">
        <v>45</v>
      </c>
      <c r="R316" s="168"/>
      <c r="S316" s="63" t="s">
        <v>0</v>
      </c>
      <c r="T316" s="1">
        <v>381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7"/>
        <v>381</v>
      </c>
      <c r="AB316" s="58">
        <v>2018</v>
      </c>
      <c r="AC316" s="9"/>
      <c r="AD316" s="101"/>
      <c r="AE316" s="101"/>
    </row>
    <row r="317" spans="1:31" ht="16.350000000000001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37</v>
      </c>
      <c r="N317" s="54" t="s">
        <v>18</v>
      </c>
      <c r="O317" s="54" t="s">
        <v>24</v>
      </c>
      <c r="P317" s="54" t="s">
        <v>22</v>
      </c>
      <c r="Q317" s="54" t="s">
        <v>46</v>
      </c>
      <c r="R317" s="168"/>
      <c r="S317" s="63" t="s">
        <v>0</v>
      </c>
      <c r="T317" s="1">
        <v>114.3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7"/>
        <v>114.3</v>
      </c>
      <c r="AB317" s="58">
        <v>2018</v>
      </c>
      <c r="AC317" s="9"/>
      <c r="AD317" s="101"/>
      <c r="AE317" s="101"/>
    </row>
    <row r="318" spans="1:31" ht="16.350000000000001" hidden="1" customHeight="1" x14ac:dyDescent="0.25">
      <c r="A318" s="54" t="s">
        <v>18</v>
      </c>
      <c r="B318" s="54" t="s">
        <v>18</v>
      </c>
      <c r="C318" s="54" t="s">
        <v>24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39</v>
      </c>
      <c r="R318" s="168"/>
      <c r="S318" s="63" t="s">
        <v>0</v>
      </c>
      <c r="T318" s="1">
        <v>457.2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7"/>
        <v>457.2</v>
      </c>
      <c r="AB318" s="58">
        <v>2018</v>
      </c>
      <c r="AC318" s="9"/>
      <c r="AD318" s="101"/>
      <c r="AE318" s="101"/>
    </row>
    <row r="319" spans="1:31" ht="31.15" hidden="1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80" t="s">
        <v>198</v>
      </c>
      <c r="S319" s="84" t="s">
        <v>167</v>
      </c>
      <c r="T319" s="3">
        <v>151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6">
        <f t="shared" si="97"/>
        <v>151</v>
      </c>
      <c r="AB319" s="41">
        <v>2018</v>
      </c>
      <c r="AC319" s="9"/>
      <c r="AD319" s="101"/>
      <c r="AE319" s="101"/>
    </row>
    <row r="320" spans="1:31" ht="15.6" hidden="1" customHeight="1" x14ac:dyDescent="0.2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168" t="s">
        <v>199</v>
      </c>
      <c r="S320" s="63" t="s">
        <v>0</v>
      </c>
      <c r="T320" s="1">
        <f>SUM(T321:T323)</f>
        <v>435.8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7"/>
        <v>435.8</v>
      </c>
      <c r="AB320" s="58">
        <v>2018</v>
      </c>
      <c r="AC320" s="9"/>
      <c r="AD320" s="101"/>
      <c r="AE320" s="101"/>
    </row>
    <row r="321" spans="1:31" ht="15.6" hidden="1" customHeight="1" x14ac:dyDescent="0.25">
      <c r="A321" s="54" t="s">
        <v>18</v>
      </c>
      <c r="B321" s="54" t="s">
        <v>18</v>
      </c>
      <c r="C321" s="54" t="s">
        <v>24</v>
      </c>
      <c r="D321" s="54" t="s">
        <v>18</v>
      </c>
      <c r="E321" s="54" t="s">
        <v>21</v>
      </c>
      <c r="F321" s="54" t="s">
        <v>18</v>
      </c>
      <c r="G321" s="54" t="s">
        <v>22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45</v>
      </c>
      <c r="R321" s="168"/>
      <c r="S321" s="63" t="s">
        <v>0</v>
      </c>
      <c r="T321" s="1">
        <v>174.3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7"/>
        <v>174.3</v>
      </c>
      <c r="AB321" s="58">
        <v>2018</v>
      </c>
      <c r="AC321" s="9"/>
      <c r="AD321" s="101"/>
      <c r="AE321" s="101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46</v>
      </c>
      <c r="R322" s="168"/>
      <c r="S322" s="63" t="s">
        <v>0</v>
      </c>
      <c r="T322" s="1">
        <v>45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7"/>
        <v>45</v>
      </c>
      <c r="AB322" s="58">
        <v>2018</v>
      </c>
      <c r="AC322" s="9"/>
      <c r="AD322" s="101"/>
      <c r="AE322" s="101"/>
    </row>
    <row r="323" spans="1:31" ht="15.6" hidden="1" customHeight="1" x14ac:dyDescent="0.25">
      <c r="A323" s="54" t="s">
        <v>18</v>
      </c>
      <c r="B323" s="54" t="s">
        <v>18</v>
      </c>
      <c r="C323" s="54" t="s">
        <v>24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37</v>
      </c>
      <c r="N323" s="54" t="s">
        <v>18</v>
      </c>
      <c r="O323" s="54" t="s">
        <v>24</v>
      </c>
      <c r="P323" s="54" t="s">
        <v>22</v>
      </c>
      <c r="Q323" s="54" t="s">
        <v>39</v>
      </c>
      <c r="R323" s="168"/>
      <c r="S323" s="63" t="s">
        <v>0</v>
      </c>
      <c r="T323" s="1">
        <v>216.5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7"/>
        <v>216.5</v>
      </c>
      <c r="AB323" s="58">
        <v>2018</v>
      </c>
      <c r="AC323" s="9"/>
      <c r="AD323" s="101"/>
      <c r="AE323" s="101"/>
    </row>
    <row r="324" spans="1:31" ht="46.9" hidden="1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80" t="s">
        <v>200</v>
      </c>
      <c r="S324" s="84" t="s">
        <v>50</v>
      </c>
      <c r="T324" s="44">
        <v>16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0</v>
      </c>
      <c r="AA324" s="49">
        <f t="shared" si="97"/>
        <v>16</v>
      </c>
      <c r="AB324" s="41">
        <v>2018</v>
      </c>
      <c r="AC324" s="9"/>
      <c r="AD324" s="101"/>
      <c r="AE324" s="101"/>
    </row>
    <row r="325" spans="1:31" ht="15.6" hidden="1" customHeight="1" x14ac:dyDescent="0.2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168" t="s">
        <v>201</v>
      </c>
      <c r="S325" s="63" t="s">
        <v>0</v>
      </c>
      <c r="T325" s="1">
        <f>SUM(T326:T328)</f>
        <v>349.1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7"/>
        <v>349.1</v>
      </c>
      <c r="AB325" s="58">
        <v>2018</v>
      </c>
      <c r="AC325" s="9"/>
      <c r="AD325" s="101"/>
      <c r="AE325" s="101"/>
    </row>
    <row r="326" spans="1:31" ht="15.6" hidden="1" customHeight="1" x14ac:dyDescent="0.25">
      <c r="A326" s="54" t="s">
        <v>18</v>
      </c>
      <c r="B326" s="54" t="s">
        <v>18</v>
      </c>
      <c r="C326" s="54" t="s">
        <v>24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19</v>
      </c>
      <c r="N326" s="54" t="s">
        <v>18</v>
      </c>
      <c r="O326" s="54" t="s">
        <v>24</v>
      </c>
      <c r="P326" s="54" t="s">
        <v>22</v>
      </c>
      <c r="Q326" s="54" t="s">
        <v>45</v>
      </c>
      <c r="R326" s="168"/>
      <c r="S326" s="63" t="s">
        <v>0</v>
      </c>
      <c r="T326" s="1">
        <v>139.6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7"/>
        <v>139.6</v>
      </c>
      <c r="AB326" s="58">
        <v>2018</v>
      </c>
      <c r="AC326" s="9"/>
      <c r="AD326" s="101"/>
      <c r="AE326" s="101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37</v>
      </c>
      <c r="N327" s="54" t="s">
        <v>18</v>
      </c>
      <c r="O327" s="54" t="s">
        <v>24</v>
      </c>
      <c r="P327" s="54" t="s">
        <v>22</v>
      </c>
      <c r="Q327" s="54" t="s">
        <v>46</v>
      </c>
      <c r="R327" s="168"/>
      <c r="S327" s="63" t="s">
        <v>0</v>
      </c>
      <c r="T327" s="1">
        <v>34.9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7"/>
        <v>34.9</v>
      </c>
      <c r="AB327" s="58">
        <v>2018</v>
      </c>
      <c r="AC327" s="9"/>
      <c r="AD327" s="101"/>
      <c r="AE327" s="101"/>
    </row>
    <row r="328" spans="1:31" ht="15.6" hidden="1" customHeight="1" x14ac:dyDescent="0.25">
      <c r="A328" s="54" t="s">
        <v>18</v>
      </c>
      <c r="B328" s="54" t="s">
        <v>18</v>
      </c>
      <c r="C328" s="54" t="s">
        <v>24</v>
      </c>
      <c r="D328" s="54" t="s">
        <v>18</v>
      </c>
      <c r="E328" s="54" t="s">
        <v>21</v>
      </c>
      <c r="F328" s="54" t="s">
        <v>18</v>
      </c>
      <c r="G328" s="54" t="s">
        <v>22</v>
      </c>
      <c r="H328" s="54" t="s">
        <v>19</v>
      </c>
      <c r="I328" s="54" t="s">
        <v>24</v>
      </c>
      <c r="J328" s="54" t="s">
        <v>18</v>
      </c>
      <c r="K328" s="54" t="s">
        <v>18</v>
      </c>
      <c r="L328" s="54" t="s">
        <v>20</v>
      </c>
      <c r="M328" s="54" t="s">
        <v>37</v>
      </c>
      <c r="N328" s="54" t="s">
        <v>18</v>
      </c>
      <c r="O328" s="54" t="s">
        <v>24</v>
      </c>
      <c r="P328" s="54" t="s">
        <v>22</v>
      </c>
      <c r="Q328" s="54" t="s">
        <v>39</v>
      </c>
      <c r="R328" s="168"/>
      <c r="S328" s="63" t="s">
        <v>0</v>
      </c>
      <c r="T328" s="1">
        <v>174.6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si="97"/>
        <v>174.6</v>
      </c>
      <c r="AB328" s="58">
        <v>2018</v>
      </c>
      <c r="AC328" s="9"/>
      <c r="AD328" s="101"/>
      <c r="AE328" s="101"/>
    </row>
    <row r="329" spans="1:31" ht="30.6" hidden="1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202</v>
      </c>
      <c r="S329" s="84" t="s">
        <v>168</v>
      </c>
      <c r="T329" s="3">
        <v>49.7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6">
        <f t="shared" si="97"/>
        <v>49.7</v>
      </c>
      <c r="AB329" s="41">
        <v>2018</v>
      </c>
      <c r="AC329" s="9"/>
      <c r="AD329" s="101"/>
      <c r="AE329" s="101"/>
    </row>
    <row r="330" spans="1:31" ht="15.6" hidden="1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68" t="s">
        <v>203</v>
      </c>
      <c r="S330" s="63" t="s">
        <v>0</v>
      </c>
      <c r="T330" s="1">
        <f>SUM(T331:T333)</f>
        <v>508.5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7"/>
        <v>508.5</v>
      </c>
      <c r="AB330" s="58">
        <v>2018</v>
      </c>
      <c r="AC330" s="9"/>
      <c r="AD330" s="101"/>
      <c r="AE330" s="101"/>
    </row>
    <row r="331" spans="1:31" ht="15.6" hidden="1" customHeight="1" x14ac:dyDescent="0.25">
      <c r="A331" s="54" t="s">
        <v>18</v>
      </c>
      <c r="B331" s="54" t="s">
        <v>18</v>
      </c>
      <c r="C331" s="54" t="s">
        <v>24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68"/>
      <c r="S331" s="63" t="s">
        <v>0</v>
      </c>
      <c r="T331" s="1">
        <v>203.4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7"/>
        <v>203.4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24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68"/>
      <c r="S332" s="63" t="s">
        <v>0</v>
      </c>
      <c r="T332" s="1">
        <v>50.9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7"/>
        <v>50.9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24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39</v>
      </c>
      <c r="R333" s="168"/>
      <c r="S333" s="63" t="s">
        <v>0</v>
      </c>
      <c r="T333" s="1">
        <v>254.2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7"/>
        <v>254.2</v>
      </c>
      <c r="AB333" s="58">
        <v>2018</v>
      </c>
      <c r="AC333" s="9"/>
      <c r="AD333" s="101"/>
      <c r="AE333" s="101"/>
    </row>
    <row r="334" spans="1:31" ht="31.15" hidden="1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80" t="s">
        <v>204</v>
      </c>
      <c r="S334" s="84" t="s">
        <v>168</v>
      </c>
      <c r="T334" s="3">
        <v>88.3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6">
        <f t="shared" si="97"/>
        <v>88.3</v>
      </c>
      <c r="AB334" s="41">
        <v>2018</v>
      </c>
      <c r="AC334" s="9"/>
      <c r="AD334" s="101"/>
      <c r="AE334" s="101"/>
    </row>
    <row r="335" spans="1:31" ht="15.6" customHeight="1" x14ac:dyDescent="0.25">
      <c r="A335" s="54" t="s">
        <v>18</v>
      </c>
      <c r="B335" s="54" t="s">
        <v>18</v>
      </c>
      <c r="C335" s="54" t="s">
        <v>21</v>
      </c>
      <c r="D335" s="54" t="s">
        <v>18</v>
      </c>
      <c r="E335" s="54" t="s">
        <v>18</v>
      </c>
      <c r="F335" s="54" t="s">
        <v>18</v>
      </c>
      <c r="G335" s="54" t="s">
        <v>18</v>
      </c>
      <c r="H335" s="54" t="s">
        <v>19</v>
      </c>
      <c r="I335" s="54" t="s">
        <v>24</v>
      </c>
      <c r="J335" s="54" t="s">
        <v>18</v>
      </c>
      <c r="K335" s="54" t="s">
        <v>18</v>
      </c>
      <c r="L335" s="54" t="s">
        <v>20</v>
      </c>
      <c r="M335" s="54" t="s">
        <v>18</v>
      </c>
      <c r="N335" s="54" t="s">
        <v>18</v>
      </c>
      <c r="O335" s="54" t="s">
        <v>18</v>
      </c>
      <c r="P335" s="54" t="s">
        <v>18</v>
      </c>
      <c r="Q335" s="54" t="s">
        <v>18</v>
      </c>
      <c r="R335" s="169" t="s">
        <v>133</v>
      </c>
      <c r="S335" s="162" t="s">
        <v>0</v>
      </c>
      <c r="T335" s="59">
        <f>SUM(T336:T339)</f>
        <v>8990.0999999999985</v>
      </c>
      <c r="U335" s="59">
        <f>SUM(U336:U342)</f>
        <v>8489.7000000000007</v>
      </c>
      <c r="V335" s="59">
        <v>0</v>
      </c>
      <c r="W335" s="59">
        <f>SUM(W336:W346)</f>
        <v>6534.5</v>
      </c>
      <c r="X335" s="59">
        <f t="shared" ref="X335:Z335" si="98">SUM(X336:X346)</f>
        <v>2062.1</v>
      </c>
      <c r="Y335" s="59">
        <f t="shared" si="98"/>
        <v>0</v>
      </c>
      <c r="Z335" s="59">
        <f t="shared" si="98"/>
        <v>0</v>
      </c>
      <c r="AA335" s="59">
        <f>SUM(T335:Z335)</f>
        <v>26076.399999999998</v>
      </c>
      <c r="AB335" s="58">
        <v>2022</v>
      </c>
      <c r="AC335" s="124"/>
      <c r="AD335" s="101"/>
      <c r="AE335" s="101"/>
    </row>
    <row r="336" spans="1:3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19</v>
      </c>
      <c r="N336" s="54" t="s">
        <v>18</v>
      </c>
      <c r="O336" s="54" t="s">
        <v>24</v>
      </c>
      <c r="P336" s="54" t="s">
        <v>22</v>
      </c>
      <c r="Q336" s="54" t="s">
        <v>45</v>
      </c>
      <c r="R336" s="170"/>
      <c r="S336" s="163"/>
      <c r="T336" s="1">
        <f>T350+T356+T363+T370+T377+T384+T391+T398+T405+T412+T418+T424</f>
        <v>3538.9999999999995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ref="AA336:AA346" si="99">SUM(T336:Z336)</f>
        <v>3538.9999999999995</v>
      </c>
      <c r="AB336" s="58">
        <v>2018</v>
      </c>
      <c r="AC336" s="124"/>
      <c r="AD336" s="101"/>
      <c r="AE336" s="101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43</v>
      </c>
      <c r="P337" s="54" t="s">
        <v>22</v>
      </c>
      <c r="Q337" s="54" t="s">
        <v>170</v>
      </c>
      <c r="R337" s="170"/>
      <c r="S337" s="163"/>
      <c r="T337" s="1">
        <v>339.9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9"/>
        <v>339.9</v>
      </c>
      <c r="AB337" s="58">
        <v>2018</v>
      </c>
      <c r="AC337" s="124"/>
      <c r="AD337" s="101"/>
      <c r="AE337" s="101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37</v>
      </c>
      <c r="N338" s="54" t="s">
        <v>18</v>
      </c>
      <c r="O338" s="54" t="s">
        <v>24</v>
      </c>
      <c r="P338" s="54" t="s">
        <v>22</v>
      </c>
      <c r="Q338" s="54" t="s">
        <v>46</v>
      </c>
      <c r="R338" s="170"/>
      <c r="S338" s="163"/>
      <c r="T338" s="1">
        <f>T351+T352+T358+T359+T365+T366+T372+T373+T379+T380+T386+T387+T393+T394+T400+T401+T407+T408+T414+T420+T427+T426</f>
        <v>1913.5</v>
      </c>
      <c r="U338" s="1">
        <v>1308.8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9"/>
        <v>3222.3</v>
      </c>
      <c r="AB338" s="58">
        <v>2019</v>
      </c>
      <c r="AC338" s="124"/>
      <c r="AD338" s="101"/>
      <c r="AE338" s="101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39</v>
      </c>
      <c r="R339" s="170"/>
      <c r="S339" s="163"/>
      <c r="T339" s="1">
        <v>3197.7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9"/>
        <v>3197.7</v>
      </c>
      <c r="AB339" s="58">
        <v>2018</v>
      </c>
      <c r="AC339" s="124"/>
      <c r="AD339" s="101"/>
      <c r="AE339" s="101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19</v>
      </c>
      <c r="N340" s="54" t="s">
        <v>18</v>
      </c>
      <c r="O340" s="54" t="s">
        <v>24</v>
      </c>
      <c r="P340" s="54" t="s">
        <v>22</v>
      </c>
      <c r="Q340" s="54" t="s">
        <v>18</v>
      </c>
      <c r="R340" s="170"/>
      <c r="S340" s="163"/>
      <c r="T340" s="1">
        <v>0</v>
      </c>
      <c r="U340" s="1">
        <f>4114.8-123.3</f>
        <v>3991.5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9"/>
        <v>3991.5</v>
      </c>
      <c r="AB340" s="58">
        <v>2019</v>
      </c>
      <c r="AC340" s="124"/>
      <c r="AD340" s="101"/>
      <c r="AE340" s="101"/>
    </row>
    <row r="341" spans="1:3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18</v>
      </c>
      <c r="F341" s="54" t="s">
        <v>18</v>
      </c>
      <c r="G341" s="54" t="s">
        <v>18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18</v>
      </c>
      <c r="R341" s="170"/>
      <c r="S341" s="163"/>
      <c r="T341" s="1">
        <v>0</v>
      </c>
      <c r="U341" s="1">
        <f>3035.2-53.3</f>
        <v>2981.8999999999996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9"/>
        <v>2981.8999999999996</v>
      </c>
      <c r="AB341" s="58">
        <v>2019</v>
      </c>
      <c r="AC341" s="124"/>
      <c r="AD341" s="101"/>
      <c r="AE341" s="101"/>
    </row>
    <row r="342" spans="1:31" x14ac:dyDescent="0.25">
      <c r="A342" s="54" t="s">
        <v>18</v>
      </c>
      <c r="B342" s="54" t="s">
        <v>18</v>
      </c>
      <c r="C342" s="54" t="s">
        <v>21</v>
      </c>
      <c r="D342" s="54" t="s">
        <v>18</v>
      </c>
      <c r="E342" s="54" t="s">
        <v>18</v>
      </c>
      <c r="F342" s="54" t="s">
        <v>18</v>
      </c>
      <c r="G342" s="54" t="s">
        <v>18</v>
      </c>
      <c r="H342" s="54" t="s">
        <v>19</v>
      </c>
      <c r="I342" s="54" t="s">
        <v>24</v>
      </c>
      <c r="J342" s="54" t="s">
        <v>18</v>
      </c>
      <c r="K342" s="54" t="s">
        <v>18</v>
      </c>
      <c r="L342" s="54" t="s">
        <v>20</v>
      </c>
      <c r="M342" s="54" t="s">
        <v>19</v>
      </c>
      <c r="N342" s="54" t="s">
        <v>18</v>
      </c>
      <c r="O342" s="54" t="s">
        <v>43</v>
      </c>
      <c r="P342" s="54" t="s">
        <v>22</v>
      </c>
      <c r="Q342" s="54" t="s">
        <v>18</v>
      </c>
      <c r="R342" s="170"/>
      <c r="S342" s="163"/>
      <c r="T342" s="1">
        <v>0</v>
      </c>
      <c r="U342" s="1">
        <f>215-7.5</f>
        <v>207.5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99"/>
        <v>207.5</v>
      </c>
      <c r="AB342" s="58">
        <v>2019</v>
      </c>
      <c r="AC342" s="124"/>
      <c r="AD342" s="101"/>
      <c r="AE342" s="101"/>
    </row>
    <row r="343" spans="1:3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18</v>
      </c>
      <c r="F343" s="54" t="s">
        <v>18</v>
      </c>
      <c r="G343" s="54" t="s">
        <v>18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37</v>
      </c>
      <c r="N343" s="54" t="s">
        <v>43</v>
      </c>
      <c r="O343" s="54" t="s">
        <v>18</v>
      </c>
      <c r="P343" s="54" t="s">
        <v>18</v>
      </c>
      <c r="Q343" s="54" t="s">
        <v>18</v>
      </c>
      <c r="R343" s="170"/>
      <c r="S343" s="163"/>
      <c r="T343" s="1">
        <v>0</v>
      </c>
      <c r="U343" s="1">
        <v>0</v>
      </c>
      <c r="V343" s="1">
        <v>0</v>
      </c>
      <c r="W343" s="1">
        <f>1891+153</f>
        <v>2044</v>
      </c>
      <c r="X343" s="1">
        <f>987.7+37</f>
        <v>1024.7</v>
      </c>
      <c r="Y343" s="1">
        <v>0</v>
      </c>
      <c r="Z343" s="1">
        <v>0</v>
      </c>
      <c r="AA343" s="59">
        <f t="shared" si="99"/>
        <v>3068.7</v>
      </c>
      <c r="AB343" s="58">
        <v>2022</v>
      </c>
      <c r="AC343" s="124"/>
      <c r="AD343" s="101"/>
      <c r="AE343" s="101"/>
    </row>
    <row r="344" spans="1:3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18</v>
      </c>
      <c r="F344" s="54" t="s">
        <v>18</v>
      </c>
      <c r="G344" s="54" t="s">
        <v>18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43</v>
      </c>
      <c r="O344" s="54" t="s">
        <v>18</v>
      </c>
      <c r="P344" s="54" t="s">
        <v>18</v>
      </c>
      <c r="Q344" s="54" t="s">
        <v>18</v>
      </c>
      <c r="R344" s="170"/>
      <c r="S344" s="163"/>
      <c r="T344" s="1">
        <v>0</v>
      </c>
      <c r="U344" s="1">
        <v>0</v>
      </c>
      <c r="V344" s="1">
        <v>0</v>
      </c>
      <c r="W344" s="1">
        <v>3135.4</v>
      </c>
      <c r="X344" s="1">
        <v>600</v>
      </c>
      <c r="Y344" s="1">
        <v>0</v>
      </c>
      <c r="Z344" s="1">
        <v>0</v>
      </c>
      <c r="AA344" s="59">
        <f t="shared" si="99"/>
        <v>3735.4</v>
      </c>
      <c r="AB344" s="58">
        <v>2022</v>
      </c>
      <c r="AC344" s="124"/>
      <c r="AD344" s="101"/>
      <c r="AE344" s="101"/>
    </row>
    <row r="345" spans="1:3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18</v>
      </c>
      <c r="F345" s="54" t="s">
        <v>18</v>
      </c>
      <c r="G345" s="54" t="s">
        <v>18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37</v>
      </c>
      <c r="N345" s="54" t="s">
        <v>43</v>
      </c>
      <c r="O345" s="54" t="s">
        <v>46</v>
      </c>
      <c r="P345" s="54" t="s">
        <v>18</v>
      </c>
      <c r="Q345" s="54" t="s">
        <v>18</v>
      </c>
      <c r="R345" s="170"/>
      <c r="S345" s="163"/>
      <c r="T345" s="1">
        <v>0</v>
      </c>
      <c r="U345" s="1">
        <v>0</v>
      </c>
      <c r="V345" s="1">
        <v>0</v>
      </c>
      <c r="W345" s="1">
        <v>1195.0999999999999</v>
      </c>
      <c r="X345" s="1">
        <v>437.4</v>
      </c>
      <c r="Y345" s="1">
        <v>0</v>
      </c>
      <c r="Z345" s="1">
        <v>0</v>
      </c>
      <c r="AA345" s="59">
        <f t="shared" si="99"/>
        <v>1632.5</v>
      </c>
      <c r="AB345" s="58">
        <v>2022</v>
      </c>
      <c r="AC345" s="124"/>
      <c r="AD345" s="101"/>
      <c r="AE345" s="101"/>
    </row>
    <row r="346" spans="1:3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18</v>
      </c>
      <c r="F346" s="54" t="s">
        <v>18</v>
      </c>
      <c r="G346" s="54" t="s">
        <v>18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19</v>
      </c>
      <c r="N346" s="54" t="s">
        <v>43</v>
      </c>
      <c r="O346" s="54" t="s">
        <v>22</v>
      </c>
      <c r="P346" s="54" t="s">
        <v>18</v>
      </c>
      <c r="Q346" s="54" t="s">
        <v>18</v>
      </c>
      <c r="R346" s="171"/>
      <c r="S346" s="164"/>
      <c r="T346" s="1">
        <v>0</v>
      </c>
      <c r="U346" s="1">
        <v>0</v>
      </c>
      <c r="V346" s="1">
        <v>0</v>
      </c>
      <c r="W346" s="1">
        <v>160</v>
      </c>
      <c r="X346" s="1">
        <v>0</v>
      </c>
      <c r="Y346" s="1">
        <v>0</v>
      </c>
      <c r="Z346" s="1">
        <v>0</v>
      </c>
      <c r="AA346" s="59">
        <f t="shared" si="99"/>
        <v>160</v>
      </c>
      <c r="AB346" s="58">
        <v>2021</v>
      </c>
      <c r="AC346" s="124"/>
      <c r="AD346" s="101"/>
      <c r="AE346" s="101"/>
    </row>
    <row r="347" spans="1:31" ht="47.25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80" t="s">
        <v>303</v>
      </c>
      <c r="S347" s="62" t="s">
        <v>52</v>
      </c>
      <c r="T347" s="3">
        <v>2.7</v>
      </c>
      <c r="U347" s="3">
        <v>1</v>
      </c>
      <c r="V347" s="3">
        <v>0</v>
      </c>
      <c r="W347" s="3">
        <v>2.2000000000000002</v>
      </c>
      <c r="X347" s="3">
        <v>1.9</v>
      </c>
      <c r="Y347" s="3">
        <v>0</v>
      </c>
      <c r="Z347" s="3">
        <v>0</v>
      </c>
      <c r="AA347" s="6">
        <f t="shared" si="97"/>
        <v>7.8000000000000007</v>
      </c>
      <c r="AB347" s="41">
        <v>2022</v>
      </c>
      <c r="AC347" s="9"/>
      <c r="AD347" s="101"/>
      <c r="AE347" s="101"/>
    </row>
    <row r="348" spans="1:31" ht="49.1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304</v>
      </c>
      <c r="S348" s="84" t="s">
        <v>50</v>
      </c>
      <c r="T348" s="44">
        <v>11</v>
      </c>
      <c r="U348" s="44">
        <v>6</v>
      </c>
      <c r="V348" s="44">
        <v>0</v>
      </c>
      <c r="W348" s="44">
        <v>4</v>
      </c>
      <c r="X348" s="44">
        <v>1</v>
      </c>
      <c r="Y348" s="44">
        <v>0</v>
      </c>
      <c r="Z348" s="44">
        <v>0</v>
      </c>
      <c r="AA348" s="49">
        <f t="shared" si="97"/>
        <v>22</v>
      </c>
      <c r="AB348" s="41">
        <v>2022</v>
      </c>
      <c r="AC348" s="9"/>
      <c r="AD348" s="101"/>
      <c r="AE348" s="101"/>
    </row>
    <row r="349" spans="1:31" ht="15.6" hidden="1" customHeight="1" x14ac:dyDescent="0.2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168" t="s">
        <v>205</v>
      </c>
      <c r="S349" s="63" t="s">
        <v>0</v>
      </c>
      <c r="T349" s="1">
        <f>SUM(T350:T353)</f>
        <v>1027.7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9">
        <f t="shared" si="94"/>
        <v>1027.7</v>
      </c>
      <c r="AB349" s="58">
        <v>2018</v>
      </c>
      <c r="AC349" s="9"/>
      <c r="AD349" s="101"/>
      <c r="AE349" s="101"/>
    </row>
    <row r="350" spans="1:31" ht="15.6" hidden="1" customHeight="1" x14ac:dyDescent="0.25">
      <c r="A350" s="54" t="s">
        <v>18</v>
      </c>
      <c r="B350" s="54" t="s">
        <v>18</v>
      </c>
      <c r="C350" s="54" t="s">
        <v>21</v>
      </c>
      <c r="D350" s="54" t="s">
        <v>18</v>
      </c>
      <c r="E350" s="54" t="s">
        <v>21</v>
      </c>
      <c r="F350" s="54" t="s">
        <v>18</v>
      </c>
      <c r="G350" s="54" t="s">
        <v>22</v>
      </c>
      <c r="H350" s="54" t="s">
        <v>19</v>
      </c>
      <c r="I350" s="54" t="s">
        <v>24</v>
      </c>
      <c r="J350" s="54" t="s">
        <v>18</v>
      </c>
      <c r="K350" s="54" t="s">
        <v>18</v>
      </c>
      <c r="L350" s="54" t="s">
        <v>20</v>
      </c>
      <c r="M350" s="54" t="s">
        <v>19</v>
      </c>
      <c r="N350" s="54" t="s">
        <v>18</v>
      </c>
      <c r="O350" s="54" t="s">
        <v>24</v>
      </c>
      <c r="P350" s="54" t="s">
        <v>22</v>
      </c>
      <c r="Q350" s="54" t="s">
        <v>45</v>
      </c>
      <c r="R350" s="168"/>
      <c r="S350" s="63" t="s">
        <v>0</v>
      </c>
      <c r="T350" s="1">
        <v>400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4"/>
        <v>400</v>
      </c>
      <c r="AB350" s="58">
        <v>2018</v>
      </c>
      <c r="AC350" s="9"/>
      <c r="AD350" s="101"/>
      <c r="AE350" s="101"/>
    </row>
    <row r="351" spans="1:31" ht="15.6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37</v>
      </c>
      <c r="N351" s="54" t="s">
        <v>18</v>
      </c>
      <c r="O351" s="54" t="s">
        <v>24</v>
      </c>
      <c r="P351" s="54" t="s">
        <v>22</v>
      </c>
      <c r="Q351" s="54" t="s">
        <v>46</v>
      </c>
      <c r="R351" s="168"/>
      <c r="S351" s="63" t="s">
        <v>0</v>
      </c>
      <c r="T351" s="1">
        <v>14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4"/>
        <v>14</v>
      </c>
      <c r="AB351" s="58">
        <v>2018</v>
      </c>
      <c r="AC351" s="9"/>
      <c r="AD351" s="101"/>
      <c r="AE351" s="101"/>
    </row>
    <row r="352" spans="1:31" ht="15.6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8"/>
      <c r="S352" s="63" t="s">
        <v>0</v>
      </c>
      <c r="T352" s="1">
        <v>157.4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4"/>
        <v>157.4</v>
      </c>
      <c r="AB352" s="58">
        <v>2018</v>
      </c>
      <c r="AC352" s="9"/>
      <c r="AD352" s="101"/>
      <c r="AE352" s="101"/>
    </row>
    <row r="353" spans="1:31" ht="15.6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39</v>
      </c>
      <c r="R353" s="168"/>
      <c r="S353" s="63" t="s">
        <v>0</v>
      </c>
      <c r="T353" s="1">
        <v>456.3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4"/>
        <v>456.3</v>
      </c>
      <c r="AB353" s="58">
        <v>2018</v>
      </c>
      <c r="AC353" s="9"/>
      <c r="AD353" s="101"/>
      <c r="AE353" s="101"/>
    </row>
    <row r="354" spans="1:31" ht="51" hidden="1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80" t="s">
        <v>206</v>
      </c>
      <c r="S354" s="84" t="s">
        <v>167</v>
      </c>
      <c r="T354" s="3">
        <v>754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6">
        <f t="shared" si="94"/>
        <v>754</v>
      </c>
      <c r="AB354" s="41">
        <v>2018</v>
      </c>
      <c r="AC354" s="9"/>
      <c r="AD354" s="101"/>
      <c r="AE354" s="101"/>
    </row>
    <row r="355" spans="1:31" ht="16.149999999999999" hidden="1" customHeight="1" x14ac:dyDescent="0.2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168" t="s">
        <v>207</v>
      </c>
      <c r="S355" s="63" t="s">
        <v>0</v>
      </c>
      <c r="T355" s="1">
        <f>SUM(T356:T360)</f>
        <v>244.8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4"/>
        <v>244.8</v>
      </c>
      <c r="AB355" s="58">
        <v>2018</v>
      </c>
      <c r="AC355" s="9"/>
      <c r="AD355" s="101"/>
      <c r="AE355" s="101"/>
    </row>
    <row r="356" spans="1:31" ht="16.149999999999999" hidden="1" customHeight="1" x14ac:dyDescent="0.25">
      <c r="A356" s="54" t="s">
        <v>18</v>
      </c>
      <c r="B356" s="54" t="s">
        <v>18</v>
      </c>
      <c r="C356" s="54" t="s">
        <v>21</v>
      </c>
      <c r="D356" s="54" t="s">
        <v>18</v>
      </c>
      <c r="E356" s="54" t="s">
        <v>21</v>
      </c>
      <c r="F356" s="54" t="s">
        <v>18</v>
      </c>
      <c r="G356" s="54" t="s">
        <v>22</v>
      </c>
      <c r="H356" s="54" t="s">
        <v>19</v>
      </c>
      <c r="I356" s="54" t="s">
        <v>24</v>
      </c>
      <c r="J356" s="54" t="s">
        <v>18</v>
      </c>
      <c r="K356" s="54" t="s">
        <v>18</v>
      </c>
      <c r="L356" s="54" t="s">
        <v>20</v>
      </c>
      <c r="M356" s="54" t="s">
        <v>19</v>
      </c>
      <c r="N356" s="54" t="s">
        <v>18</v>
      </c>
      <c r="O356" s="54" t="s">
        <v>24</v>
      </c>
      <c r="P356" s="54" t="s">
        <v>22</v>
      </c>
      <c r="Q356" s="54" t="s">
        <v>45</v>
      </c>
      <c r="R356" s="168"/>
      <c r="S356" s="63" t="s">
        <v>0</v>
      </c>
      <c r="T356" s="1">
        <v>97.9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94"/>
        <v>97.9</v>
      </c>
      <c r="AB356" s="58">
        <v>2018</v>
      </c>
      <c r="AC356" s="9"/>
      <c r="AD356" s="101"/>
      <c r="AE356" s="101"/>
    </row>
    <row r="357" spans="1:31" ht="16.149999999999999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43</v>
      </c>
      <c r="P357" s="54" t="s">
        <v>22</v>
      </c>
      <c r="Q357" s="54" t="s">
        <v>170</v>
      </c>
      <c r="R357" s="168"/>
      <c r="S357" s="63" t="s">
        <v>0</v>
      </c>
      <c r="T357" s="1">
        <v>15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4"/>
        <v>15</v>
      </c>
      <c r="AB357" s="58">
        <v>2018</v>
      </c>
      <c r="AC357" s="9"/>
      <c r="AD357" s="101"/>
      <c r="AE357" s="101"/>
    </row>
    <row r="358" spans="1:31" ht="16.149999999999999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37</v>
      </c>
      <c r="N358" s="54" t="s">
        <v>18</v>
      </c>
      <c r="O358" s="54" t="s">
        <v>24</v>
      </c>
      <c r="P358" s="54" t="s">
        <v>22</v>
      </c>
      <c r="Q358" s="54" t="s">
        <v>46</v>
      </c>
      <c r="R358" s="168"/>
      <c r="S358" s="63" t="s">
        <v>0</v>
      </c>
      <c r="T358" s="1">
        <v>4.9000000000000004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4"/>
        <v>4.9000000000000004</v>
      </c>
      <c r="AB358" s="58">
        <v>2018</v>
      </c>
      <c r="AC358" s="9"/>
      <c r="AD358" s="101"/>
      <c r="AE358" s="101"/>
    </row>
    <row r="359" spans="1:31" ht="16.149999999999999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8"/>
      <c r="S359" s="63" t="s">
        <v>0</v>
      </c>
      <c r="T359" s="1">
        <v>36.700000000000003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4"/>
        <v>36.700000000000003</v>
      </c>
      <c r="AB359" s="58">
        <v>2018</v>
      </c>
      <c r="AC359" s="9"/>
      <c r="AD359" s="101"/>
      <c r="AE359" s="101"/>
    </row>
    <row r="360" spans="1:31" ht="16.149999999999999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39</v>
      </c>
      <c r="R360" s="168"/>
      <c r="S360" s="63" t="s">
        <v>0</v>
      </c>
      <c r="T360" s="1">
        <v>90.3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4"/>
        <v>90.3</v>
      </c>
      <c r="AB360" s="58">
        <v>2018</v>
      </c>
      <c r="AC360" s="9"/>
      <c r="AD360" s="101"/>
      <c r="AE360" s="101"/>
    </row>
    <row r="361" spans="1:31" ht="52.15" hidden="1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80" t="s">
        <v>208</v>
      </c>
      <c r="S361" s="84" t="s">
        <v>50</v>
      </c>
      <c r="T361" s="44">
        <v>10</v>
      </c>
      <c r="U361" s="44">
        <v>0</v>
      </c>
      <c r="V361" s="44">
        <v>0</v>
      </c>
      <c r="W361" s="44">
        <v>0</v>
      </c>
      <c r="X361" s="44">
        <v>0</v>
      </c>
      <c r="Y361" s="44">
        <v>0</v>
      </c>
      <c r="Z361" s="44">
        <v>0</v>
      </c>
      <c r="AA361" s="49">
        <f t="shared" si="94"/>
        <v>10</v>
      </c>
      <c r="AB361" s="41">
        <v>2018</v>
      </c>
      <c r="AC361" s="9"/>
      <c r="AD361" s="101"/>
      <c r="AE361" s="101"/>
    </row>
    <row r="362" spans="1:31" ht="16.350000000000001" hidden="1" customHeight="1" x14ac:dyDescent="0.25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168" t="s">
        <v>209</v>
      </c>
      <c r="S362" s="63" t="s">
        <v>0</v>
      </c>
      <c r="T362" s="1">
        <f>SUM(T363:T367)</f>
        <v>686.4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ref="AA362:AA429" si="100">SUM(T362:Y362)</f>
        <v>686.4</v>
      </c>
      <c r="AB362" s="58">
        <v>2018</v>
      </c>
      <c r="AC362" s="9"/>
      <c r="AD362" s="101"/>
      <c r="AE362" s="101"/>
    </row>
    <row r="363" spans="1:31" ht="16.350000000000001" hidden="1" customHeight="1" x14ac:dyDescent="0.25">
      <c r="A363" s="54" t="s">
        <v>18</v>
      </c>
      <c r="B363" s="54" t="s">
        <v>18</v>
      </c>
      <c r="C363" s="54" t="s">
        <v>21</v>
      </c>
      <c r="D363" s="54" t="s">
        <v>18</v>
      </c>
      <c r="E363" s="54" t="s">
        <v>24</v>
      </c>
      <c r="F363" s="54" t="s">
        <v>18</v>
      </c>
      <c r="G363" s="54" t="s">
        <v>43</v>
      </c>
      <c r="H363" s="54" t="s">
        <v>19</v>
      </c>
      <c r="I363" s="54" t="s">
        <v>24</v>
      </c>
      <c r="J363" s="54" t="s">
        <v>18</v>
      </c>
      <c r="K363" s="54" t="s">
        <v>18</v>
      </c>
      <c r="L363" s="54" t="s">
        <v>20</v>
      </c>
      <c r="M363" s="54" t="s">
        <v>19</v>
      </c>
      <c r="N363" s="54" t="s">
        <v>18</v>
      </c>
      <c r="O363" s="54" t="s">
        <v>24</v>
      </c>
      <c r="P363" s="54" t="s">
        <v>22</v>
      </c>
      <c r="Q363" s="54" t="s">
        <v>45</v>
      </c>
      <c r="R363" s="168"/>
      <c r="S363" s="63" t="s">
        <v>0</v>
      </c>
      <c r="T363" s="1">
        <v>272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si="100"/>
        <v>272</v>
      </c>
      <c r="AB363" s="58">
        <v>2018</v>
      </c>
      <c r="AC363" s="9"/>
      <c r="AD363" s="101"/>
      <c r="AE363" s="101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43</v>
      </c>
      <c r="P364" s="54" t="s">
        <v>22</v>
      </c>
      <c r="Q364" s="54" t="s">
        <v>170</v>
      </c>
      <c r="R364" s="168"/>
      <c r="S364" s="63" t="s">
        <v>0</v>
      </c>
      <c r="T364" s="1">
        <v>30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0"/>
        <v>30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37</v>
      </c>
      <c r="N365" s="54" t="s">
        <v>18</v>
      </c>
      <c r="O365" s="54" t="s">
        <v>24</v>
      </c>
      <c r="P365" s="54" t="s">
        <v>22</v>
      </c>
      <c r="Q365" s="54" t="s">
        <v>46</v>
      </c>
      <c r="R365" s="168"/>
      <c r="S365" s="63" t="s">
        <v>0</v>
      </c>
      <c r="T365" s="1">
        <v>47.3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0"/>
        <v>47.3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8"/>
      <c r="S366" s="63" t="s">
        <v>0</v>
      </c>
      <c r="T366" s="1">
        <v>68.599999999999994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0"/>
        <v>68.599999999999994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39</v>
      </c>
      <c r="R367" s="168"/>
      <c r="S367" s="63" t="s">
        <v>0</v>
      </c>
      <c r="T367" s="1">
        <v>268.5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0"/>
        <v>268.5</v>
      </c>
      <c r="AB367" s="58">
        <v>2018</v>
      </c>
      <c r="AC367" s="9"/>
      <c r="AD367" s="101"/>
      <c r="AE367" s="101"/>
    </row>
    <row r="368" spans="1:31" ht="53.45" hidden="1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78" t="s">
        <v>210</v>
      </c>
      <c r="S368" s="84" t="s">
        <v>167</v>
      </c>
      <c r="T368" s="3">
        <v>285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6">
        <f t="shared" si="100"/>
        <v>285</v>
      </c>
      <c r="AB368" s="41">
        <v>2018</v>
      </c>
      <c r="AC368" s="9"/>
      <c r="AD368" s="101"/>
      <c r="AE368" s="101"/>
    </row>
    <row r="369" spans="1:31" ht="16.350000000000001" hidden="1" customHeight="1" x14ac:dyDescent="0.25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168" t="s">
        <v>211</v>
      </c>
      <c r="S369" s="63" t="s">
        <v>0</v>
      </c>
      <c r="T369" s="1">
        <f>SUM(T370:T374)</f>
        <v>657.90000000000009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100"/>
        <v>657.90000000000009</v>
      </c>
      <c r="AB369" s="58">
        <v>2018</v>
      </c>
      <c r="AC369" s="9"/>
      <c r="AD369" s="101"/>
      <c r="AE369" s="101"/>
    </row>
    <row r="370" spans="1:31" ht="16.350000000000001" hidden="1" customHeight="1" x14ac:dyDescent="0.25">
      <c r="A370" s="54" t="s">
        <v>18</v>
      </c>
      <c r="B370" s="54" t="s">
        <v>18</v>
      </c>
      <c r="C370" s="54" t="s">
        <v>21</v>
      </c>
      <c r="D370" s="54" t="s">
        <v>18</v>
      </c>
      <c r="E370" s="54" t="s">
        <v>21</v>
      </c>
      <c r="F370" s="54" t="s">
        <v>18</v>
      </c>
      <c r="G370" s="54" t="s">
        <v>22</v>
      </c>
      <c r="H370" s="54" t="s">
        <v>19</v>
      </c>
      <c r="I370" s="54" t="s">
        <v>24</v>
      </c>
      <c r="J370" s="54" t="s">
        <v>18</v>
      </c>
      <c r="K370" s="54" t="s">
        <v>18</v>
      </c>
      <c r="L370" s="54" t="s">
        <v>20</v>
      </c>
      <c r="M370" s="54" t="s">
        <v>19</v>
      </c>
      <c r="N370" s="54" t="s">
        <v>18</v>
      </c>
      <c r="O370" s="54" t="s">
        <v>24</v>
      </c>
      <c r="P370" s="54" t="s">
        <v>22</v>
      </c>
      <c r="Q370" s="54" t="s">
        <v>45</v>
      </c>
      <c r="R370" s="168"/>
      <c r="S370" s="63" t="s">
        <v>0</v>
      </c>
      <c r="T370" s="1">
        <v>263.10000000000002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0"/>
        <v>263.10000000000002</v>
      </c>
      <c r="AB370" s="58">
        <v>2018</v>
      </c>
      <c r="AC370" s="9"/>
      <c r="AD370" s="101"/>
      <c r="AE370" s="101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43</v>
      </c>
      <c r="P371" s="54" t="s">
        <v>22</v>
      </c>
      <c r="Q371" s="54" t="s">
        <v>170</v>
      </c>
      <c r="R371" s="168"/>
      <c r="S371" s="63" t="s">
        <v>0</v>
      </c>
      <c r="T371" s="1">
        <v>40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>SUM(T371:Y371)</f>
        <v>40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37</v>
      </c>
      <c r="N372" s="54" t="s">
        <v>18</v>
      </c>
      <c r="O372" s="54" t="s">
        <v>24</v>
      </c>
      <c r="P372" s="54" t="s">
        <v>22</v>
      </c>
      <c r="Q372" s="54" t="s">
        <v>46</v>
      </c>
      <c r="R372" s="168"/>
      <c r="S372" s="63" t="s">
        <v>0</v>
      </c>
      <c r="T372" s="1">
        <v>5.7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100"/>
        <v>5.7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8"/>
      <c r="S373" s="63" t="s">
        <v>0</v>
      </c>
      <c r="T373" s="1">
        <v>98.8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0"/>
        <v>98.8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39</v>
      </c>
      <c r="R374" s="168"/>
      <c r="S374" s="63" t="s">
        <v>0</v>
      </c>
      <c r="T374" s="1">
        <v>250.3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0"/>
        <v>250.3</v>
      </c>
      <c r="AB374" s="58">
        <v>2018</v>
      </c>
      <c r="AC374" s="9"/>
      <c r="AD374" s="101"/>
      <c r="AE374" s="101"/>
    </row>
    <row r="375" spans="1:31" ht="37.15" hidden="1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80" t="s">
        <v>212</v>
      </c>
      <c r="S375" s="84" t="s">
        <v>167</v>
      </c>
      <c r="T375" s="3">
        <v>443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100"/>
        <v>443</v>
      </c>
      <c r="AB375" s="41">
        <v>2018</v>
      </c>
      <c r="AC375" s="9"/>
      <c r="AD375" s="101"/>
      <c r="AE375" s="101"/>
    </row>
    <row r="376" spans="1:31" ht="18.600000000000001" hidden="1" customHeight="1" x14ac:dyDescent="0.25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168" t="s">
        <v>213</v>
      </c>
      <c r="S376" s="63" t="s">
        <v>0</v>
      </c>
      <c r="T376" s="1">
        <f>SUM(T377:T381)</f>
        <v>1100.4000000000001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100"/>
        <v>1100.4000000000001</v>
      </c>
      <c r="AB376" s="58">
        <v>2018</v>
      </c>
      <c r="AC376" s="9"/>
      <c r="AD376" s="101"/>
      <c r="AE376" s="101"/>
    </row>
    <row r="377" spans="1:31" ht="16.350000000000001" hidden="1" customHeight="1" x14ac:dyDescent="0.25">
      <c r="A377" s="54" t="s">
        <v>18</v>
      </c>
      <c r="B377" s="54" t="s">
        <v>18</v>
      </c>
      <c r="C377" s="54" t="s">
        <v>21</v>
      </c>
      <c r="D377" s="54" t="s">
        <v>18</v>
      </c>
      <c r="E377" s="54" t="s">
        <v>21</v>
      </c>
      <c r="F377" s="54" t="s">
        <v>18</v>
      </c>
      <c r="G377" s="54" t="s">
        <v>22</v>
      </c>
      <c r="H377" s="54" t="s">
        <v>19</v>
      </c>
      <c r="I377" s="54" t="s">
        <v>24</v>
      </c>
      <c r="J377" s="54" t="s">
        <v>18</v>
      </c>
      <c r="K377" s="54" t="s">
        <v>18</v>
      </c>
      <c r="L377" s="54" t="s">
        <v>20</v>
      </c>
      <c r="M377" s="54" t="s">
        <v>19</v>
      </c>
      <c r="N377" s="54" t="s">
        <v>18</v>
      </c>
      <c r="O377" s="54" t="s">
        <v>24</v>
      </c>
      <c r="P377" s="54" t="s">
        <v>22</v>
      </c>
      <c r="Q377" s="54" t="s">
        <v>45</v>
      </c>
      <c r="R377" s="168"/>
      <c r="S377" s="63" t="s">
        <v>0</v>
      </c>
      <c r="T377" s="1">
        <v>400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0"/>
        <v>400</v>
      </c>
      <c r="AB377" s="58">
        <v>2018</v>
      </c>
      <c r="AC377" s="9"/>
      <c r="AD377" s="101"/>
      <c r="AE377" s="101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43</v>
      </c>
      <c r="P378" s="54" t="s">
        <v>22</v>
      </c>
      <c r="Q378" s="54" t="s">
        <v>170</v>
      </c>
      <c r="R378" s="168"/>
      <c r="S378" s="63" t="s">
        <v>0</v>
      </c>
      <c r="T378" s="1">
        <v>40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0"/>
        <v>40</v>
      </c>
      <c r="AB378" s="58">
        <v>2018</v>
      </c>
      <c r="AC378" s="9"/>
      <c r="AD378" s="101"/>
      <c r="AE378" s="101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37</v>
      </c>
      <c r="N379" s="54" t="s">
        <v>18</v>
      </c>
      <c r="O379" s="54" t="s">
        <v>24</v>
      </c>
      <c r="P379" s="54" t="s">
        <v>22</v>
      </c>
      <c r="Q379" s="54" t="s">
        <v>46</v>
      </c>
      <c r="R379" s="168"/>
      <c r="S379" s="63" t="s">
        <v>0</v>
      </c>
      <c r="T379" s="1">
        <v>30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0"/>
        <v>30</v>
      </c>
      <c r="AB379" s="58">
        <v>2018</v>
      </c>
      <c r="AC379" s="9"/>
      <c r="AD379" s="101"/>
      <c r="AE379" s="101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8"/>
      <c r="S380" s="63" t="s">
        <v>0</v>
      </c>
      <c r="T380" s="1">
        <v>166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0"/>
        <v>166</v>
      </c>
      <c r="AB380" s="58">
        <v>2018</v>
      </c>
      <c r="AC380" s="9"/>
      <c r="AD380" s="101"/>
      <c r="AE380" s="101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39</v>
      </c>
      <c r="R381" s="168"/>
      <c r="S381" s="63" t="s">
        <v>0</v>
      </c>
      <c r="T381" s="1">
        <v>464.4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0"/>
        <v>464.4</v>
      </c>
      <c r="AB381" s="58">
        <v>2018</v>
      </c>
      <c r="AC381" s="9"/>
      <c r="AD381" s="101"/>
      <c r="AE381" s="101"/>
    </row>
    <row r="382" spans="1:31" ht="37.15" hidden="1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80" t="s">
        <v>214</v>
      </c>
      <c r="S382" s="84" t="s">
        <v>167</v>
      </c>
      <c r="T382" s="3">
        <v>930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6">
        <f t="shared" si="100"/>
        <v>930</v>
      </c>
      <c r="AB382" s="41">
        <v>2018</v>
      </c>
      <c r="AC382" s="9"/>
      <c r="AD382" s="101"/>
      <c r="AE382" s="101"/>
    </row>
    <row r="383" spans="1:31" ht="22.15" hidden="1" customHeight="1" x14ac:dyDescent="0.2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168" t="s">
        <v>215</v>
      </c>
      <c r="S383" s="63" t="s">
        <v>0</v>
      </c>
      <c r="T383" s="1">
        <f>SUM(T384:T388)</f>
        <v>1421.6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100"/>
        <v>1421.6</v>
      </c>
      <c r="AB383" s="58">
        <v>2018</v>
      </c>
      <c r="AC383" s="9"/>
      <c r="AD383" s="101"/>
      <c r="AE383" s="101"/>
    </row>
    <row r="384" spans="1:31" ht="16.350000000000001" hidden="1" customHeight="1" x14ac:dyDescent="0.25">
      <c r="A384" s="54" t="s">
        <v>18</v>
      </c>
      <c r="B384" s="54" t="s">
        <v>18</v>
      </c>
      <c r="C384" s="54" t="s">
        <v>21</v>
      </c>
      <c r="D384" s="54" t="s">
        <v>18</v>
      </c>
      <c r="E384" s="54" t="s">
        <v>21</v>
      </c>
      <c r="F384" s="54" t="s">
        <v>18</v>
      </c>
      <c r="G384" s="54" t="s">
        <v>22</v>
      </c>
      <c r="H384" s="54" t="s">
        <v>19</v>
      </c>
      <c r="I384" s="54" t="s">
        <v>24</v>
      </c>
      <c r="J384" s="54" t="s">
        <v>18</v>
      </c>
      <c r="K384" s="54" t="s">
        <v>18</v>
      </c>
      <c r="L384" s="54" t="s">
        <v>20</v>
      </c>
      <c r="M384" s="54" t="s">
        <v>19</v>
      </c>
      <c r="N384" s="54" t="s">
        <v>18</v>
      </c>
      <c r="O384" s="54" t="s">
        <v>24</v>
      </c>
      <c r="P384" s="54" t="s">
        <v>22</v>
      </c>
      <c r="Q384" s="54" t="s">
        <v>45</v>
      </c>
      <c r="R384" s="168"/>
      <c r="S384" s="63" t="s">
        <v>0</v>
      </c>
      <c r="T384" s="1">
        <v>400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0"/>
        <v>400</v>
      </c>
      <c r="AB384" s="58">
        <v>2018</v>
      </c>
      <c r="AC384" s="9"/>
      <c r="AD384" s="101"/>
      <c r="AE384" s="101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43</v>
      </c>
      <c r="P385" s="54" t="s">
        <v>22</v>
      </c>
      <c r="Q385" s="54" t="s">
        <v>170</v>
      </c>
      <c r="R385" s="168"/>
      <c r="S385" s="63" t="s">
        <v>0</v>
      </c>
      <c r="T385" s="1">
        <v>50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>SUM(T385:Y385)</f>
        <v>50</v>
      </c>
      <c r="AB385" s="58">
        <v>2018</v>
      </c>
      <c r="AC385" s="9"/>
      <c r="AD385" s="101"/>
      <c r="AE385" s="101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37</v>
      </c>
      <c r="N386" s="54" t="s">
        <v>18</v>
      </c>
      <c r="O386" s="54" t="s">
        <v>24</v>
      </c>
      <c r="P386" s="54" t="s">
        <v>22</v>
      </c>
      <c r="Q386" s="54" t="s">
        <v>46</v>
      </c>
      <c r="R386" s="168"/>
      <c r="S386" s="63" t="s">
        <v>0</v>
      </c>
      <c r="T386" s="1">
        <v>83.1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100"/>
        <v>83.1</v>
      </c>
      <c r="AB386" s="58">
        <v>2018</v>
      </c>
      <c r="AC386" s="9"/>
      <c r="AD386" s="101"/>
      <c r="AE386" s="101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8"/>
      <c r="S387" s="63" t="s">
        <v>0</v>
      </c>
      <c r="T387" s="1">
        <v>143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0"/>
        <v>143</v>
      </c>
      <c r="AB387" s="58">
        <v>2018</v>
      </c>
      <c r="AC387" s="9"/>
      <c r="AD387" s="101"/>
      <c r="AE387" s="101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39</v>
      </c>
      <c r="R388" s="168"/>
      <c r="S388" s="63" t="s">
        <v>0</v>
      </c>
      <c r="T388" s="1">
        <v>745.5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0"/>
        <v>745.5</v>
      </c>
      <c r="AB388" s="58">
        <v>2018</v>
      </c>
      <c r="AC388" s="9"/>
      <c r="AD388" s="101"/>
      <c r="AE388" s="101"/>
    </row>
    <row r="389" spans="1:31" ht="36.6" hidden="1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80" t="s">
        <v>216</v>
      </c>
      <c r="S389" s="84" t="s">
        <v>167</v>
      </c>
      <c r="T389" s="3">
        <v>1070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100"/>
        <v>1070</v>
      </c>
      <c r="AB389" s="41">
        <v>2018</v>
      </c>
      <c r="AC389" s="9"/>
      <c r="AD389" s="101"/>
      <c r="AE389" s="101"/>
    </row>
    <row r="390" spans="1:31" ht="19.899999999999999" hidden="1" customHeight="1" x14ac:dyDescent="0.2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168" t="s">
        <v>217</v>
      </c>
      <c r="S390" s="63" t="s">
        <v>0</v>
      </c>
      <c r="T390" s="1">
        <f>SUM(T391:T395)</f>
        <v>263.89999999999998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100"/>
        <v>263.89999999999998</v>
      </c>
      <c r="AB390" s="58">
        <v>2018</v>
      </c>
      <c r="AC390" s="9"/>
      <c r="AD390" s="101"/>
      <c r="AE390" s="101"/>
    </row>
    <row r="391" spans="1:31" ht="16.350000000000001" hidden="1" customHeight="1" x14ac:dyDescent="0.25">
      <c r="A391" s="54" t="s">
        <v>18</v>
      </c>
      <c r="B391" s="54" t="s">
        <v>18</v>
      </c>
      <c r="C391" s="54" t="s">
        <v>21</v>
      </c>
      <c r="D391" s="54" t="s">
        <v>18</v>
      </c>
      <c r="E391" s="54" t="s">
        <v>21</v>
      </c>
      <c r="F391" s="54" t="s">
        <v>18</v>
      </c>
      <c r="G391" s="54" t="s">
        <v>22</v>
      </c>
      <c r="H391" s="54" t="s">
        <v>19</v>
      </c>
      <c r="I391" s="54" t="s">
        <v>24</v>
      </c>
      <c r="J391" s="54" t="s">
        <v>18</v>
      </c>
      <c r="K391" s="54" t="s">
        <v>18</v>
      </c>
      <c r="L391" s="54" t="s">
        <v>20</v>
      </c>
      <c r="M391" s="54" t="s">
        <v>19</v>
      </c>
      <c r="N391" s="54" t="s">
        <v>18</v>
      </c>
      <c r="O391" s="54" t="s">
        <v>24</v>
      </c>
      <c r="P391" s="54" t="s">
        <v>22</v>
      </c>
      <c r="Q391" s="54" t="s">
        <v>45</v>
      </c>
      <c r="R391" s="168"/>
      <c r="S391" s="63" t="s">
        <v>0</v>
      </c>
      <c r="T391" s="1">
        <v>105.5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0"/>
        <v>105.5</v>
      </c>
      <c r="AB391" s="58">
        <v>2018</v>
      </c>
      <c r="AC391" s="9"/>
      <c r="AD391" s="101"/>
      <c r="AE391" s="101"/>
    </row>
    <row r="392" spans="1:31" ht="16.350000000000001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43</v>
      </c>
      <c r="P392" s="54" t="s">
        <v>22</v>
      </c>
      <c r="Q392" s="54" t="s">
        <v>170</v>
      </c>
      <c r="R392" s="168"/>
      <c r="S392" s="63" t="s">
        <v>0</v>
      </c>
      <c r="T392" s="1">
        <v>20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0"/>
        <v>20</v>
      </c>
      <c r="AB392" s="58">
        <v>2018</v>
      </c>
      <c r="AC392" s="9"/>
      <c r="AD392" s="101"/>
      <c r="AE392" s="101"/>
    </row>
    <row r="393" spans="1:31" ht="16.350000000000001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37</v>
      </c>
      <c r="N393" s="54" t="s">
        <v>18</v>
      </c>
      <c r="O393" s="54" t="s">
        <v>24</v>
      </c>
      <c r="P393" s="54" t="s">
        <v>22</v>
      </c>
      <c r="Q393" s="54" t="s">
        <v>46</v>
      </c>
      <c r="R393" s="168"/>
      <c r="S393" s="63" t="s">
        <v>0</v>
      </c>
      <c r="T393" s="1">
        <v>19.399999999999999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0"/>
        <v>19.399999999999999</v>
      </c>
      <c r="AB393" s="58">
        <v>2018</v>
      </c>
      <c r="AC393" s="9"/>
      <c r="AD393" s="101"/>
      <c r="AE393" s="101"/>
    </row>
    <row r="394" spans="1:31" ht="16.350000000000001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8"/>
      <c r="S394" s="63" t="s">
        <v>0</v>
      </c>
      <c r="T394" s="1">
        <v>39.6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0"/>
        <v>39.6</v>
      </c>
      <c r="AB394" s="58">
        <v>2018</v>
      </c>
      <c r="AC394" s="9"/>
      <c r="AD394" s="101"/>
      <c r="AE394" s="101"/>
    </row>
    <row r="395" spans="1:31" ht="16.350000000000001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39</v>
      </c>
      <c r="R395" s="168"/>
      <c r="S395" s="63" t="s">
        <v>0</v>
      </c>
      <c r="T395" s="1">
        <v>79.400000000000006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0"/>
        <v>79.400000000000006</v>
      </c>
      <c r="AB395" s="58">
        <v>2018</v>
      </c>
      <c r="AC395" s="9"/>
      <c r="AD395" s="101"/>
      <c r="AE395" s="101"/>
    </row>
    <row r="396" spans="1:31" ht="36.6" hidden="1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80" t="s">
        <v>218</v>
      </c>
      <c r="S396" s="84" t="s">
        <v>8</v>
      </c>
      <c r="T396" s="44">
        <v>5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  <c r="Z396" s="44">
        <v>0</v>
      </c>
      <c r="AA396" s="6">
        <f t="shared" si="100"/>
        <v>5</v>
      </c>
      <c r="AB396" s="41">
        <v>2018</v>
      </c>
      <c r="AC396" s="9"/>
      <c r="AD396" s="101"/>
      <c r="AE396" s="101"/>
    </row>
    <row r="397" spans="1:31" ht="15.6" hidden="1" customHeight="1" x14ac:dyDescent="0.25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168" t="s">
        <v>219</v>
      </c>
      <c r="S397" s="63" t="s">
        <v>0</v>
      </c>
      <c r="T397" s="1">
        <f>SUM(T398:T402)</f>
        <v>490.3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59">
        <f t="shared" si="100"/>
        <v>490.3</v>
      </c>
      <c r="AB397" s="58">
        <v>2018</v>
      </c>
      <c r="AC397" s="9"/>
      <c r="AD397" s="101"/>
      <c r="AE397" s="101"/>
    </row>
    <row r="398" spans="1:31" ht="15.6" hidden="1" customHeight="1" x14ac:dyDescent="0.25">
      <c r="A398" s="54" t="s">
        <v>18</v>
      </c>
      <c r="B398" s="54" t="s">
        <v>18</v>
      </c>
      <c r="C398" s="54" t="s">
        <v>21</v>
      </c>
      <c r="D398" s="54" t="s">
        <v>18</v>
      </c>
      <c r="E398" s="54" t="s">
        <v>24</v>
      </c>
      <c r="F398" s="54" t="s">
        <v>18</v>
      </c>
      <c r="G398" s="54" t="s">
        <v>43</v>
      </c>
      <c r="H398" s="54" t="s">
        <v>19</v>
      </c>
      <c r="I398" s="54" t="s">
        <v>24</v>
      </c>
      <c r="J398" s="54" t="s">
        <v>18</v>
      </c>
      <c r="K398" s="54" t="s">
        <v>18</v>
      </c>
      <c r="L398" s="54" t="s">
        <v>20</v>
      </c>
      <c r="M398" s="54" t="s">
        <v>19</v>
      </c>
      <c r="N398" s="54" t="s">
        <v>18</v>
      </c>
      <c r="O398" s="54" t="s">
        <v>24</v>
      </c>
      <c r="P398" s="54" t="s">
        <v>22</v>
      </c>
      <c r="Q398" s="54" t="s">
        <v>45</v>
      </c>
      <c r="R398" s="168"/>
      <c r="S398" s="63" t="s">
        <v>0</v>
      </c>
      <c r="T398" s="1">
        <v>196.1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0"/>
        <v>196.1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24</v>
      </c>
      <c r="F399" s="54" t="s">
        <v>18</v>
      </c>
      <c r="G399" s="54" t="s">
        <v>43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43</v>
      </c>
      <c r="P399" s="54" t="s">
        <v>22</v>
      </c>
      <c r="Q399" s="54" t="s">
        <v>170</v>
      </c>
      <c r="R399" s="168"/>
      <c r="S399" s="63" t="s">
        <v>0</v>
      </c>
      <c r="T399" s="1">
        <v>30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>SUM(T399:Y399)</f>
        <v>30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24</v>
      </c>
      <c r="F400" s="54" t="s">
        <v>18</v>
      </c>
      <c r="G400" s="54" t="s">
        <v>43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24</v>
      </c>
      <c r="P400" s="54" t="s">
        <v>22</v>
      </c>
      <c r="Q400" s="54" t="s">
        <v>46</v>
      </c>
      <c r="R400" s="168"/>
      <c r="S400" s="63" t="s">
        <v>0</v>
      </c>
      <c r="T400" s="1">
        <v>33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100"/>
        <v>33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24</v>
      </c>
      <c r="F401" s="54" t="s">
        <v>18</v>
      </c>
      <c r="G401" s="54" t="s">
        <v>43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8"/>
      <c r="S401" s="63" t="s">
        <v>0</v>
      </c>
      <c r="T401" s="1">
        <v>102.9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0"/>
        <v>102.9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24</v>
      </c>
      <c r="F402" s="54" t="s">
        <v>18</v>
      </c>
      <c r="G402" s="54" t="s">
        <v>43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68"/>
      <c r="S402" s="63" t="s">
        <v>0</v>
      </c>
      <c r="T402" s="1">
        <v>128.30000000000001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100"/>
        <v>128.30000000000001</v>
      </c>
      <c r="AB402" s="58">
        <v>2018</v>
      </c>
      <c r="AC402" s="9"/>
      <c r="AD402" s="101"/>
      <c r="AE402" s="101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220</v>
      </c>
      <c r="S403" s="89" t="s">
        <v>172</v>
      </c>
      <c r="T403" s="3">
        <v>180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100"/>
        <v>180</v>
      </c>
      <c r="AB403" s="41">
        <v>2018</v>
      </c>
      <c r="AC403" s="9"/>
      <c r="AD403" s="101"/>
      <c r="AE403" s="101"/>
    </row>
    <row r="404" spans="1:31" ht="15.6" hidden="1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68" t="s">
        <v>221</v>
      </c>
      <c r="S404" s="63" t="s">
        <v>0</v>
      </c>
      <c r="T404" s="1">
        <f>SUM(T405:T409)</f>
        <v>1177.5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100"/>
        <v>1177.5</v>
      </c>
      <c r="AB404" s="58">
        <v>2018</v>
      </c>
      <c r="AC404" s="9"/>
      <c r="AD404" s="101"/>
      <c r="AE404" s="101"/>
    </row>
    <row r="405" spans="1:31" ht="15.6" hidden="1" customHeight="1" x14ac:dyDescent="0.25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68"/>
      <c r="S405" s="63" t="s">
        <v>0</v>
      </c>
      <c r="T405" s="1">
        <v>400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100"/>
        <v>400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170</v>
      </c>
      <c r="R406" s="168"/>
      <c r="S406" s="63" t="s">
        <v>0</v>
      </c>
      <c r="T406" s="1">
        <v>45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100"/>
        <v>45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68"/>
      <c r="S407" s="63" t="s">
        <v>0</v>
      </c>
      <c r="T407" s="1">
        <v>58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100"/>
        <v>58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8"/>
      <c r="S408" s="63" t="s">
        <v>0</v>
      </c>
      <c r="T408" s="1">
        <v>353.3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100"/>
        <v>353.3</v>
      </c>
      <c r="AB408" s="58">
        <v>2018</v>
      </c>
      <c r="AC408" s="86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68"/>
      <c r="S409" s="63" t="s">
        <v>0</v>
      </c>
      <c r="T409" s="1">
        <v>321.2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100"/>
        <v>321.2</v>
      </c>
      <c r="AB409" s="58">
        <v>2018</v>
      </c>
      <c r="AC409" s="9"/>
      <c r="AD409" s="101"/>
      <c r="AE409" s="101"/>
    </row>
    <row r="410" spans="1:31" ht="27.6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222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9">
        <f t="shared" si="100"/>
        <v>1</v>
      </c>
      <c r="AB410" s="41">
        <v>2018</v>
      </c>
      <c r="AC410" s="9"/>
      <c r="AD410" s="101"/>
      <c r="AE410" s="101"/>
    </row>
    <row r="411" spans="1:31" ht="15.6" hidden="1" customHeight="1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168" t="s">
        <v>223</v>
      </c>
      <c r="S411" s="63" t="s">
        <v>0</v>
      </c>
      <c r="T411" s="1">
        <f>SUM(T412:T415)</f>
        <v>979.3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59">
        <f t="shared" si="100"/>
        <v>979.3</v>
      </c>
      <c r="AB411" s="58">
        <v>2018</v>
      </c>
      <c r="AC411" s="9"/>
      <c r="AD411" s="101"/>
      <c r="AE411" s="101"/>
    </row>
    <row r="412" spans="1:31" ht="15.6" hidden="1" customHeight="1" x14ac:dyDescent="0.25">
      <c r="A412" s="54" t="s">
        <v>18</v>
      </c>
      <c r="B412" s="54" t="s">
        <v>18</v>
      </c>
      <c r="C412" s="54" t="s">
        <v>21</v>
      </c>
      <c r="D412" s="54" t="s">
        <v>18</v>
      </c>
      <c r="E412" s="54" t="s">
        <v>21</v>
      </c>
      <c r="F412" s="54" t="s">
        <v>18</v>
      </c>
      <c r="G412" s="54" t="s">
        <v>22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68"/>
      <c r="S412" s="63" t="s">
        <v>0</v>
      </c>
      <c r="T412" s="1">
        <v>391.7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100"/>
        <v>391.7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43</v>
      </c>
      <c r="P413" s="54" t="s">
        <v>22</v>
      </c>
      <c r="Q413" s="54" t="s">
        <v>170</v>
      </c>
      <c r="R413" s="168"/>
      <c r="S413" s="63" t="s">
        <v>0</v>
      </c>
      <c r="T413" s="1">
        <v>30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100"/>
        <v>30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68"/>
      <c r="S414" s="63" t="s">
        <v>0</v>
      </c>
      <c r="T414" s="1">
        <v>205.6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100"/>
        <v>205.6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39</v>
      </c>
      <c r="R415" s="168"/>
      <c r="S415" s="63" t="s">
        <v>0</v>
      </c>
      <c r="T415" s="1">
        <v>352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100"/>
        <v>352</v>
      </c>
      <c r="AB415" s="58">
        <v>2018</v>
      </c>
      <c r="AC415" s="9"/>
      <c r="AD415" s="101"/>
      <c r="AE415" s="101"/>
    </row>
    <row r="416" spans="1:31" ht="31.15" hidden="1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80" t="s">
        <v>224</v>
      </c>
      <c r="S416" s="84" t="s">
        <v>167</v>
      </c>
      <c r="T416" s="3">
        <v>356.5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6">
        <f t="shared" si="100"/>
        <v>356.5</v>
      </c>
      <c r="AB416" s="41">
        <v>2018</v>
      </c>
      <c r="AC416" s="9"/>
      <c r="AD416" s="101"/>
      <c r="AE416" s="101"/>
    </row>
    <row r="417" spans="1:31" ht="15.6" hidden="1" customHeight="1" x14ac:dyDescent="0.2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168" t="s">
        <v>225</v>
      </c>
      <c r="S417" s="63" t="s">
        <v>0</v>
      </c>
      <c r="T417" s="1">
        <f>SUM(T418:T421)</f>
        <v>695.4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59">
        <f t="shared" si="100"/>
        <v>695.4</v>
      </c>
      <c r="AB417" s="58">
        <v>2018</v>
      </c>
      <c r="AC417" s="9"/>
      <c r="AD417" s="101"/>
      <c r="AE417" s="101"/>
    </row>
    <row r="418" spans="1:31" ht="15.6" hidden="1" customHeight="1" x14ac:dyDescent="0.25">
      <c r="A418" s="54" t="s">
        <v>18</v>
      </c>
      <c r="B418" s="54" t="s">
        <v>18</v>
      </c>
      <c r="C418" s="54" t="s">
        <v>21</v>
      </c>
      <c r="D418" s="54" t="s">
        <v>18</v>
      </c>
      <c r="E418" s="54" t="s">
        <v>21</v>
      </c>
      <c r="F418" s="54" t="s">
        <v>18</v>
      </c>
      <c r="G418" s="54" t="s">
        <v>22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18</v>
      </c>
      <c r="O418" s="54" t="s">
        <v>24</v>
      </c>
      <c r="P418" s="54" t="s">
        <v>22</v>
      </c>
      <c r="Q418" s="54" t="s">
        <v>45</v>
      </c>
      <c r="R418" s="168"/>
      <c r="S418" s="63" t="s">
        <v>0</v>
      </c>
      <c r="T418" s="1">
        <v>278.2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100"/>
        <v>278.2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18</v>
      </c>
      <c r="O419" s="54" t="s">
        <v>43</v>
      </c>
      <c r="P419" s="54" t="s">
        <v>22</v>
      </c>
      <c r="Q419" s="54" t="s">
        <v>170</v>
      </c>
      <c r="R419" s="168"/>
      <c r="S419" s="63" t="s">
        <v>0</v>
      </c>
      <c r="T419" s="1">
        <v>20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 t="shared" si="100"/>
        <v>20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68"/>
      <c r="S420" s="63" t="s">
        <v>0</v>
      </c>
      <c r="T420" s="1">
        <v>104.3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100"/>
        <v>104.3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39</v>
      </c>
      <c r="R421" s="168"/>
      <c r="S421" s="63" t="s">
        <v>0</v>
      </c>
      <c r="T421" s="1">
        <v>292.89999999999998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100"/>
        <v>292.89999999999998</v>
      </c>
      <c r="AB421" s="58">
        <v>2018</v>
      </c>
      <c r="AC421" s="9"/>
      <c r="AD421" s="101"/>
      <c r="AE421" s="101"/>
    </row>
    <row r="422" spans="1:31" ht="31.15" hidden="1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78" t="s">
        <v>226</v>
      </c>
      <c r="S422" s="89" t="s">
        <v>172</v>
      </c>
      <c r="T422" s="3">
        <v>190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6">
        <f t="shared" si="100"/>
        <v>190</v>
      </c>
      <c r="AB422" s="41">
        <v>2018</v>
      </c>
      <c r="AC422" s="9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68" t="s">
        <v>227</v>
      </c>
      <c r="S423" s="63" t="s">
        <v>0</v>
      </c>
      <c r="T423" s="1">
        <f>SUM(T424:T428)</f>
        <v>836.4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59">
        <f t="shared" si="100"/>
        <v>836.4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21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68"/>
      <c r="S424" s="63" t="s">
        <v>0</v>
      </c>
      <c r="T424" s="1">
        <v>334.5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9">
        <f t="shared" si="100"/>
        <v>334.5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21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43</v>
      </c>
      <c r="P425" s="54" t="s">
        <v>22</v>
      </c>
      <c r="Q425" s="54" t="s">
        <v>170</v>
      </c>
      <c r="R425" s="168"/>
      <c r="S425" s="63" t="s">
        <v>0</v>
      </c>
      <c r="T425" s="1">
        <v>30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>SUM(T425:Y425)</f>
        <v>30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21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68"/>
      <c r="S426" s="63" t="s">
        <v>0</v>
      </c>
      <c r="T426" s="1">
        <v>16.399999999999999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9">
        <f t="shared" si="100"/>
        <v>16.399999999999999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21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68"/>
      <c r="S427" s="63" t="s">
        <v>0</v>
      </c>
      <c r="T427" s="1">
        <v>125.5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100"/>
        <v>125.5</v>
      </c>
      <c r="AB427" s="58">
        <v>2018</v>
      </c>
      <c r="AC427" s="9"/>
      <c r="AD427" s="101"/>
      <c r="AE427" s="101"/>
    </row>
    <row r="428" spans="1:31" ht="15.6" hidden="1" customHeight="1" x14ac:dyDescent="0.25">
      <c r="A428" s="54" t="s">
        <v>18</v>
      </c>
      <c r="B428" s="54" t="s">
        <v>18</v>
      </c>
      <c r="C428" s="54" t="s">
        <v>21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39</v>
      </c>
      <c r="R428" s="168"/>
      <c r="S428" s="63" t="s">
        <v>0</v>
      </c>
      <c r="T428" s="1">
        <v>330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100"/>
        <v>330</v>
      </c>
      <c r="AB428" s="58">
        <v>2018</v>
      </c>
      <c r="AC428" s="9"/>
      <c r="AD428" s="101"/>
      <c r="AE428" s="101"/>
    </row>
    <row r="429" spans="1:31" ht="27.6" hidden="1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88" t="s">
        <v>228</v>
      </c>
      <c r="S429" s="84" t="s">
        <v>8</v>
      </c>
      <c r="T429" s="44">
        <v>1</v>
      </c>
      <c r="U429" s="44">
        <v>0</v>
      </c>
      <c r="V429" s="44">
        <v>0</v>
      </c>
      <c r="W429" s="44">
        <v>0</v>
      </c>
      <c r="X429" s="44">
        <v>0</v>
      </c>
      <c r="Y429" s="44">
        <v>0</v>
      </c>
      <c r="Z429" s="44">
        <v>0</v>
      </c>
      <c r="AA429" s="6">
        <f t="shared" si="100"/>
        <v>1</v>
      </c>
      <c r="AB429" s="41">
        <v>2018</v>
      </c>
      <c r="AC429" s="9"/>
      <c r="AD429" s="101"/>
      <c r="AE429" s="101"/>
    </row>
    <row r="430" spans="1:31" ht="15.6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18</v>
      </c>
      <c r="F430" s="54" t="s">
        <v>18</v>
      </c>
      <c r="G430" s="54" t="s">
        <v>18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18</v>
      </c>
      <c r="N430" s="54" t="s">
        <v>18</v>
      </c>
      <c r="O430" s="54" t="s">
        <v>18</v>
      </c>
      <c r="P430" s="54" t="s">
        <v>18</v>
      </c>
      <c r="Q430" s="54" t="s">
        <v>18</v>
      </c>
      <c r="R430" s="169" t="s">
        <v>133</v>
      </c>
      <c r="S430" s="162" t="s">
        <v>0</v>
      </c>
      <c r="T430" s="59">
        <f>SUM(T431:T433)</f>
        <v>6913.9150000000009</v>
      </c>
      <c r="U430" s="59">
        <f>SUM(U431:U435)</f>
        <v>3765.5</v>
      </c>
      <c r="V430" s="59">
        <f>SUM(V431:V435)</f>
        <v>1745.5</v>
      </c>
      <c r="W430" s="59">
        <f>SUM(W431:W438)</f>
        <v>1838.6999999999998</v>
      </c>
      <c r="X430" s="59">
        <f>SUM(X431:X438)</f>
        <v>2718</v>
      </c>
      <c r="Y430" s="59">
        <v>0</v>
      </c>
      <c r="Z430" s="59">
        <v>0</v>
      </c>
      <c r="AA430" s="59">
        <f>SUM(T430:Z430)</f>
        <v>16981.615000000002</v>
      </c>
      <c r="AB430" s="58">
        <v>2022</v>
      </c>
      <c r="AC430" s="124"/>
      <c r="AD430" s="101"/>
      <c r="AE430" s="101"/>
    </row>
    <row r="431" spans="1:3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19</v>
      </c>
      <c r="N431" s="54" t="s">
        <v>18</v>
      </c>
      <c r="O431" s="54" t="s">
        <v>24</v>
      </c>
      <c r="P431" s="54" t="s">
        <v>22</v>
      </c>
      <c r="Q431" s="54" t="s">
        <v>45</v>
      </c>
      <c r="R431" s="170"/>
      <c r="S431" s="163"/>
      <c r="T431" s="1">
        <f>T443+T449+T455+T461+T467+T473+T478+T484+T490+T496+T502</f>
        <v>2886.915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59">
        <f t="shared" ref="AA431:AA438" si="101">SUM(T431:Z431)</f>
        <v>2886.915</v>
      </c>
      <c r="AB431" s="58">
        <v>2018</v>
      </c>
      <c r="AC431" s="124"/>
      <c r="AD431" s="101"/>
      <c r="AE431" s="101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70"/>
      <c r="S432" s="163"/>
      <c r="T432" s="1">
        <f>T444+T445+T450+T451+T456+T457+T462+T463+T468+T469+T474+T479+T480+T485+T486+T491+T492+T497+T498+T503+T504</f>
        <v>1641.4</v>
      </c>
      <c r="U432" s="1">
        <v>868</v>
      </c>
      <c r="V432" s="1">
        <v>501.9</v>
      </c>
      <c r="W432" s="1">
        <v>0</v>
      </c>
      <c r="X432" s="1">
        <v>0</v>
      </c>
      <c r="Y432" s="1">
        <v>0</v>
      </c>
      <c r="Z432" s="1">
        <v>0</v>
      </c>
      <c r="AA432" s="59">
        <f t="shared" si="101"/>
        <v>3011.3</v>
      </c>
      <c r="AB432" s="58">
        <v>2020</v>
      </c>
      <c r="AC432" s="124"/>
      <c r="AD432" s="101"/>
      <c r="AE432" s="101"/>
    </row>
    <row r="433" spans="1:3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18</v>
      </c>
      <c r="F433" s="54" t="s">
        <v>18</v>
      </c>
      <c r="G433" s="54" t="s">
        <v>18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70"/>
      <c r="S433" s="163"/>
      <c r="T433" s="1">
        <v>2385.6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59">
        <f t="shared" si="101"/>
        <v>2385.6</v>
      </c>
      <c r="AB433" s="58">
        <v>2018</v>
      </c>
      <c r="AC433" s="124"/>
      <c r="AD433" s="101"/>
      <c r="AE433" s="101"/>
    </row>
    <row r="434" spans="1:3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18</v>
      </c>
      <c r="F434" s="54" t="s">
        <v>18</v>
      </c>
      <c r="G434" s="54" t="s">
        <v>18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19</v>
      </c>
      <c r="N434" s="54" t="s">
        <v>18</v>
      </c>
      <c r="O434" s="54" t="s">
        <v>24</v>
      </c>
      <c r="P434" s="54" t="s">
        <v>22</v>
      </c>
      <c r="Q434" s="54" t="s">
        <v>18</v>
      </c>
      <c r="R434" s="170"/>
      <c r="S434" s="163"/>
      <c r="T434" s="1">
        <v>0</v>
      </c>
      <c r="U434" s="1">
        <f>1977-1.3</f>
        <v>1975.7</v>
      </c>
      <c r="V434" s="1">
        <f>968.2-585.9</f>
        <v>382.30000000000007</v>
      </c>
      <c r="W434" s="1">
        <v>0</v>
      </c>
      <c r="X434" s="1">
        <v>0</v>
      </c>
      <c r="Y434" s="1">
        <v>0</v>
      </c>
      <c r="Z434" s="1">
        <v>0</v>
      </c>
      <c r="AA434" s="59">
        <f t="shared" si="101"/>
        <v>2358</v>
      </c>
      <c r="AB434" s="58">
        <v>2020</v>
      </c>
      <c r="AC434" s="124"/>
      <c r="AD434" s="101"/>
      <c r="AE434" s="101"/>
    </row>
    <row r="435" spans="1:31" x14ac:dyDescent="0.25">
      <c r="A435" s="54" t="s">
        <v>18</v>
      </c>
      <c r="B435" s="54" t="s">
        <v>18</v>
      </c>
      <c r="C435" s="54" t="s">
        <v>25</v>
      </c>
      <c r="D435" s="54" t="s">
        <v>18</v>
      </c>
      <c r="E435" s="54" t="s">
        <v>18</v>
      </c>
      <c r="F435" s="54" t="s">
        <v>18</v>
      </c>
      <c r="G435" s="54" t="s">
        <v>18</v>
      </c>
      <c r="H435" s="54" t="s">
        <v>19</v>
      </c>
      <c r="I435" s="54" t="s">
        <v>24</v>
      </c>
      <c r="J435" s="54" t="s">
        <v>18</v>
      </c>
      <c r="K435" s="54" t="s">
        <v>18</v>
      </c>
      <c r="L435" s="54" t="s">
        <v>20</v>
      </c>
      <c r="M435" s="54" t="s">
        <v>37</v>
      </c>
      <c r="N435" s="54" t="s">
        <v>18</v>
      </c>
      <c r="O435" s="54" t="s">
        <v>24</v>
      </c>
      <c r="P435" s="54" t="s">
        <v>22</v>
      </c>
      <c r="Q435" s="54" t="s">
        <v>18</v>
      </c>
      <c r="R435" s="170"/>
      <c r="S435" s="163"/>
      <c r="T435" s="1">
        <v>0</v>
      </c>
      <c r="U435" s="1">
        <f>1119.1-197.3</f>
        <v>921.8</v>
      </c>
      <c r="V435" s="1">
        <f>466.5+457.8-63</f>
        <v>861.3</v>
      </c>
      <c r="W435" s="1">
        <v>0</v>
      </c>
      <c r="X435" s="1">
        <v>0</v>
      </c>
      <c r="Y435" s="1">
        <v>0</v>
      </c>
      <c r="Z435" s="1">
        <v>0</v>
      </c>
      <c r="AA435" s="59">
        <f t="shared" si="101"/>
        <v>1783.1</v>
      </c>
      <c r="AB435" s="58">
        <v>2020</v>
      </c>
      <c r="AC435" s="124"/>
      <c r="AD435" s="101"/>
      <c r="AE435" s="101"/>
    </row>
    <row r="436" spans="1:3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18</v>
      </c>
      <c r="F436" s="54" t="s">
        <v>18</v>
      </c>
      <c r="G436" s="54" t="s">
        <v>18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37</v>
      </c>
      <c r="N436" s="54" t="s">
        <v>43</v>
      </c>
      <c r="O436" s="54" t="s">
        <v>18</v>
      </c>
      <c r="P436" s="54" t="s">
        <v>18</v>
      </c>
      <c r="Q436" s="54" t="s">
        <v>18</v>
      </c>
      <c r="R436" s="170"/>
      <c r="S436" s="163"/>
      <c r="T436" s="1">
        <v>0</v>
      </c>
      <c r="U436" s="1">
        <v>0</v>
      </c>
      <c r="V436" s="1">
        <v>0</v>
      </c>
      <c r="W436" s="1">
        <v>534.9</v>
      </c>
      <c r="X436" s="1">
        <v>723.3</v>
      </c>
      <c r="Y436" s="1">
        <v>0</v>
      </c>
      <c r="Z436" s="1">
        <v>0</v>
      </c>
      <c r="AA436" s="59">
        <f t="shared" si="101"/>
        <v>1258.1999999999998</v>
      </c>
      <c r="AB436" s="58">
        <v>2022</v>
      </c>
      <c r="AC436" s="124"/>
      <c r="AD436" s="101"/>
      <c r="AE436" s="101"/>
    </row>
    <row r="437" spans="1:3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18</v>
      </c>
      <c r="F437" s="54" t="s">
        <v>18</v>
      </c>
      <c r="G437" s="54" t="s">
        <v>18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19</v>
      </c>
      <c r="N437" s="54" t="s">
        <v>43</v>
      </c>
      <c r="O437" s="54" t="s">
        <v>18</v>
      </c>
      <c r="P437" s="54" t="s">
        <v>18</v>
      </c>
      <c r="Q437" s="54" t="s">
        <v>18</v>
      </c>
      <c r="R437" s="170"/>
      <c r="S437" s="163"/>
      <c r="T437" s="1">
        <v>0</v>
      </c>
      <c r="U437" s="1">
        <v>0</v>
      </c>
      <c r="V437" s="1">
        <v>0</v>
      </c>
      <c r="W437" s="1">
        <v>904.4</v>
      </c>
      <c r="X437" s="1">
        <v>1358.9</v>
      </c>
      <c r="Y437" s="1">
        <v>0</v>
      </c>
      <c r="Z437" s="1">
        <v>0</v>
      </c>
      <c r="AA437" s="59">
        <f t="shared" si="101"/>
        <v>2263.3000000000002</v>
      </c>
      <c r="AB437" s="58">
        <v>2022</v>
      </c>
      <c r="AC437" s="124"/>
      <c r="AD437" s="101"/>
      <c r="AE437" s="101"/>
    </row>
    <row r="438" spans="1:3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18</v>
      </c>
      <c r="F438" s="54" t="s">
        <v>18</v>
      </c>
      <c r="G438" s="54" t="s">
        <v>18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43</v>
      </c>
      <c r="O438" s="54" t="s">
        <v>46</v>
      </c>
      <c r="P438" s="54" t="s">
        <v>18</v>
      </c>
      <c r="Q438" s="54" t="s">
        <v>18</v>
      </c>
      <c r="R438" s="171"/>
      <c r="S438" s="164"/>
      <c r="T438" s="1">
        <v>0</v>
      </c>
      <c r="U438" s="1">
        <v>0</v>
      </c>
      <c r="V438" s="1">
        <v>0</v>
      </c>
      <c r="W438" s="1">
        <v>399.4</v>
      </c>
      <c r="X438" s="1">
        <v>635.79999999999995</v>
      </c>
      <c r="Y438" s="1">
        <v>0</v>
      </c>
      <c r="Z438" s="1">
        <v>0</v>
      </c>
      <c r="AA438" s="59">
        <f t="shared" si="101"/>
        <v>1035.1999999999998</v>
      </c>
      <c r="AB438" s="58">
        <v>2022</v>
      </c>
      <c r="AC438" s="124"/>
      <c r="AD438" s="101"/>
      <c r="AE438" s="101"/>
    </row>
    <row r="439" spans="1:31" ht="47.25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80" t="s">
        <v>305</v>
      </c>
      <c r="S439" s="62" t="s">
        <v>52</v>
      </c>
      <c r="T439" s="3">
        <v>1.5</v>
      </c>
      <c r="U439" s="3">
        <v>0.8</v>
      </c>
      <c r="V439" s="3">
        <v>0.6</v>
      </c>
      <c r="W439" s="3">
        <v>0.4</v>
      </c>
      <c r="X439" s="3">
        <v>0.8</v>
      </c>
      <c r="Y439" s="3">
        <v>0</v>
      </c>
      <c r="Z439" s="3">
        <v>0</v>
      </c>
      <c r="AA439" s="6">
        <f t="shared" ref="AA439:AA441" si="102">SUM(T439:Y439)</f>
        <v>4.0999999999999996</v>
      </c>
      <c r="AB439" s="41">
        <v>2022</v>
      </c>
      <c r="AC439" s="128"/>
      <c r="AD439" s="101"/>
      <c r="AE439" s="101"/>
    </row>
    <row r="440" spans="1:31" ht="46.9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174</v>
      </c>
      <c r="S440" s="84" t="s">
        <v>173</v>
      </c>
      <c r="T440" s="3"/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6">
        <f t="shared" si="102"/>
        <v>0</v>
      </c>
      <c r="AB440" s="41">
        <v>2018</v>
      </c>
      <c r="AC440" s="128"/>
      <c r="AD440" s="101"/>
      <c r="AE440" s="101"/>
    </row>
    <row r="441" spans="1:31" ht="47.25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306</v>
      </c>
      <c r="S441" s="84" t="s">
        <v>50</v>
      </c>
      <c r="T441" s="44">
        <v>10</v>
      </c>
      <c r="U441" s="44">
        <v>5</v>
      </c>
      <c r="V441" s="44">
        <v>2</v>
      </c>
      <c r="W441" s="44">
        <v>2</v>
      </c>
      <c r="X441" s="44">
        <v>2</v>
      </c>
      <c r="Y441" s="44">
        <v>0</v>
      </c>
      <c r="Z441" s="44">
        <v>0</v>
      </c>
      <c r="AA441" s="49">
        <f t="shared" si="102"/>
        <v>21</v>
      </c>
      <c r="AB441" s="41">
        <v>2022</v>
      </c>
      <c r="AC441" s="128"/>
      <c r="AD441" s="101"/>
      <c r="AE441" s="101"/>
    </row>
    <row r="442" spans="1:31" ht="15.6" hidden="1" customHeight="1" x14ac:dyDescent="0.2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168" t="s">
        <v>231</v>
      </c>
      <c r="S442" s="63" t="s">
        <v>0</v>
      </c>
      <c r="T442" s="1">
        <f>SUM(T443:T446)</f>
        <v>721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ref="AA442:AA505" si="103">SUM(T442:Y442)</f>
        <v>721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19</v>
      </c>
      <c r="N443" s="54" t="s">
        <v>18</v>
      </c>
      <c r="O443" s="54" t="s">
        <v>24</v>
      </c>
      <c r="P443" s="54" t="s">
        <v>22</v>
      </c>
      <c r="Q443" s="54" t="s">
        <v>45</v>
      </c>
      <c r="R443" s="168"/>
      <c r="S443" s="63" t="s">
        <v>0</v>
      </c>
      <c r="T443" s="1">
        <v>288.39999999999998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3"/>
        <v>288.39999999999998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68"/>
      <c r="S444" s="63" t="s">
        <v>0</v>
      </c>
      <c r="T444" s="1">
        <v>6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3"/>
        <v>6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46</v>
      </c>
      <c r="R445" s="168"/>
      <c r="S445" s="63" t="s">
        <v>0</v>
      </c>
      <c r="T445" s="1">
        <v>151.4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3"/>
        <v>151.4</v>
      </c>
      <c r="AB445" s="58">
        <v>2018</v>
      </c>
      <c r="AC445" s="9"/>
      <c r="AD445" s="101"/>
      <c r="AE445" s="101"/>
    </row>
    <row r="446" spans="1:31" ht="15.6" hidden="1" customHeight="1" x14ac:dyDescent="0.25">
      <c r="A446" s="54" t="s">
        <v>18</v>
      </c>
      <c r="B446" s="54" t="s">
        <v>18</v>
      </c>
      <c r="C446" s="54" t="s">
        <v>25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18</v>
      </c>
      <c r="L446" s="54" t="s">
        <v>20</v>
      </c>
      <c r="M446" s="54" t="s">
        <v>37</v>
      </c>
      <c r="N446" s="54" t="s">
        <v>18</v>
      </c>
      <c r="O446" s="54" t="s">
        <v>24</v>
      </c>
      <c r="P446" s="54" t="s">
        <v>22</v>
      </c>
      <c r="Q446" s="54" t="s">
        <v>39</v>
      </c>
      <c r="R446" s="168"/>
      <c r="S446" s="63" t="s">
        <v>0</v>
      </c>
      <c r="T446" s="1">
        <v>275.2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3"/>
        <v>275.2</v>
      </c>
      <c r="AB446" s="58">
        <v>2018</v>
      </c>
      <c r="AC446" s="9"/>
      <c r="AD446" s="101"/>
      <c r="AE446" s="101"/>
    </row>
    <row r="447" spans="1:31" ht="31.15" hidden="1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80" t="s">
        <v>232</v>
      </c>
      <c r="S447" s="84" t="s">
        <v>8</v>
      </c>
      <c r="T447" s="44">
        <v>1</v>
      </c>
      <c r="U447" s="44">
        <v>0</v>
      </c>
      <c r="V447" s="44">
        <v>0</v>
      </c>
      <c r="W447" s="44">
        <v>0</v>
      </c>
      <c r="X447" s="44">
        <v>0</v>
      </c>
      <c r="Y447" s="44">
        <v>0</v>
      </c>
      <c r="Z447" s="44"/>
      <c r="AA447" s="49">
        <f t="shared" si="103"/>
        <v>1</v>
      </c>
      <c r="AB447" s="41">
        <v>2018</v>
      </c>
      <c r="AC447" s="9"/>
      <c r="AD447" s="101"/>
      <c r="AE447" s="101"/>
    </row>
    <row r="448" spans="1:31" ht="15.6" hidden="1" customHeight="1" x14ac:dyDescent="0.2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168" t="s">
        <v>233</v>
      </c>
      <c r="S448" s="63" t="s">
        <v>0</v>
      </c>
      <c r="T448" s="1">
        <f>SUM(T449:T452)</f>
        <v>960.80000000000007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3"/>
        <v>960.80000000000007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19</v>
      </c>
      <c r="N449" s="54" t="s">
        <v>18</v>
      </c>
      <c r="O449" s="54" t="s">
        <v>24</v>
      </c>
      <c r="P449" s="54" t="s">
        <v>22</v>
      </c>
      <c r="Q449" s="54" t="s">
        <v>45</v>
      </c>
      <c r="R449" s="168"/>
      <c r="S449" s="63" t="s">
        <v>0</v>
      </c>
      <c r="T449" s="1">
        <v>384.3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3"/>
        <v>384.3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68"/>
      <c r="S450" s="63" t="s">
        <v>0</v>
      </c>
      <c r="T450" s="1">
        <v>25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3"/>
        <v>25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46</v>
      </c>
      <c r="R451" s="168"/>
      <c r="S451" s="63" t="s">
        <v>0</v>
      </c>
      <c r="T451" s="1">
        <v>212.4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3"/>
        <v>212.4</v>
      </c>
      <c r="AB451" s="58">
        <v>2018</v>
      </c>
      <c r="AC451" s="9"/>
      <c r="AD451" s="101"/>
      <c r="AE451" s="101"/>
    </row>
    <row r="452" spans="1:31" ht="15.6" hidden="1" customHeight="1" x14ac:dyDescent="0.25">
      <c r="A452" s="54" t="s">
        <v>18</v>
      </c>
      <c r="B452" s="54" t="s">
        <v>18</v>
      </c>
      <c r="C452" s="54" t="s">
        <v>25</v>
      </c>
      <c r="D452" s="54" t="s">
        <v>18</v>
      </c>
      <c r="E452" s="54" t="s">
        <v>21</v>
      </c>
      <c r="F452" s="54" t="s">
        <v>18</v>
      </c>
      <c r="G452" s="54" t="s">
        <v>22</v>
      </c>
      <c r="H452" s="54" t="s">
        <v>19</v>
      </c>
      <c r="I452" s="54" t="s">
        <v>24</v>
      </c>
      <c r="J452" s="54" t="s">
        <v>18</v>
      </c>
      <c r="K452" s="54" t="s">
        <v>18</v>
      </c>
      <c r="L452" s="54" t="s">
        <v>20</v>
      </c>
      <c r="M452" s="54" t="s">
        <v>37</v>
      </c>
      <c r="N452" s="54" t="s">
        <v>18</v>
      </c>
      <c r="O452" s="54" t="s">
        <v>24</v>
      </c>
      <c r="P452" s="54" t="s">
        <v>22</v>
      </c>
      <c r="Q452" s="54" t="s">
        <v>39</v>
      </c>
      <c r="R452" s="168"/>
      <c r="S452" s="63" t="s">
        <v>0</v>
      </c>
      <c r="T452" s="1">
        <v>339.1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3"/>
        <v>339.1</v>
      </c>
      <c r="AB452" s="58">
        <v>2018</v>
      </c>
      <c r="AC452" s="9"/>
      <c r="AD452" s="101"/>
      <c r="AE452" s="101"/>
    </row>
    <row r="453" spans="1:31" ht="31.15" hidden="1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80" t="s">
        <v>234</v>
      </c>
      <c r="S453" s="84" t="s">
        <v>168</v>
      </c>
      <c r="T453" s="3">
        <v>78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/>
      <c r="AA453" s="6">
        <f t="shared" si="103"/>
        <v>78</v>
      </c>
      <c r="AB453" s="41">
        <v>2018</v>
      </c>
      <c r="AC453" s="9"/>
      <c r="AD453" s="101"/>
      <c r="AE453" s="101"/>
    </row>
    <row r="454" spans="1:31" ht="15.6" hidden="1" customHeight="1" x14ac:dyDescent="0.2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168" t="s">
        <v>235</v>
      </c>
      <c r="S454" s="63" t="s">
        <v>0</v>
      </c>
      <c r="T454" s="1">
        <f>SUM(T455:T458)</f>
        <v>301.2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3"/>
        <v>301.2</v>
      </c>
      <c r="AB454" s="58">
        <v>2018</v>
      </c>
      <c r="AC454" s="9"/>
      <c r="AD454" s="101"/>
      <c r="AE454" s="101"/>
    </row>
    <row r="455" spans="1:31" ht="15.6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19</v>
      </c>
      <c r="N455" s="54" t="s">
        <v>18</v>
      </c>
      <c r="O455" s="54" t="s">
        <v>24</v>
      </c>
      <c r="P455" s="54" t="s">
        <v>22</v>
      </c>
      <c r="Q455" s="54" t="s">
        <v>45</v>
      </c>
      <c r="R455" s="168"/>
      <c r="S455" s="63" t="s">
        <v>0</v>
      </c>
      <c r="T455" s="1">
        <v>114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3"/>
        <v>114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46</v>
      </c>
      <c r="R456" s="168"/>
      <c r="S456" s="63" t="s">
        <v>0</v>
      </c>
      <c r="T456" s="1">
        <v>10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3"/>
        <v>10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46</v>
      </c>
      <c r="R457" s="168"/>
      <c r="S457" s="63" t="s">
        <v>0</v>
      </c>
      <c r="T457" s="1">
        <v>63.2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103"/>
        <v>63.2</v>
      </c>
      <c r="AB457" s="58">
        <v>2018</v>
      </c>
      <c r="AC457" s="9"/>
      <c r="AD457" s="101"/>
      <c r="AE457" s="101"/>
    </row>
    <row r="458" spans="1:31" ht="15.6" hidden="1" customHeight="1" x14ac:dyDescent="0.25">
      <c r="A458" s="54" t="s">
        <v>18</v>
      </c>
      <c r="B458" s="54" t="s">
        <v>18</v>
      </c>
      <c r="C458" s="54" t="s">
        <v>25</v>
      </c>
      <c r="D458" s="54" t="s">
        <v>18</v>
      </c>
      <c r="E458" s="54" t="s">
        <v>21</v>
      </c>
      <c r="F458" s="54" t="s">
        <v>18</v>
      </c>
      <c r="G458" s="54" t="s">
        <v>22</v>
      </c>
      <c r="H458" s="54" t="s">
        <v>19</v>
      </c>
      <c r="I458" s="54" t="s">
        <v>24</v>
      </c>
      <c r="J458" s="54" t="s">
        <v>18</v>
      </c>
      <c r="K458" s="54" t="s">
        <v>18</v>
      </c>
      <c r="L458" s="54" t="s">
        <v>20</v>
      </c>
      <c r="M458" s="54" t="s">
        <v>37</v>
      </c>
      <c r="N458" s="54" t="s">
        <v>18</v>
      </c>
      <c r="O458" s="54" t="s">
        <v>24</v>
      </c>
      <c r="P458" s="54" t="s">
        <v>22</v>
      </c>
      <c r="Q458" s="54" t="s">
        <v>39</v>
      </c>
      <c r="R458" s="168"/>
      <c r="S458" s="63" t="s">
        <v>0</v>
      </c>
      <c r="T458" s="1">
        <v>114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3"/>
        <v>114</v>
      </c>
      <c r="AB458" s="58">
        <v>2018</v>
      </c>
      <c r="AC458" s="9"/>
      <c r="AD458" s="101"/>
      <c r="AE458" s="101"/>
    </row>
    <row r="459" spans="1:31" ht="45" hidden="1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80" t="s">
        <v>236</v>
      </c>
      <c r="S459" s="84" t="s">
        <v>50</v>
      </c>
      <c r="T459" s="44">
        <v>12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/>
      <c r="AA459" s="49">
        <f t="shared" si="103"/>
        <v>12</v>
      </c>
      <c r="AB459" s="41">
        <v>2018</v>
      </c>
      <c r="AC459" s="9"/>
      <c r="AD459" s="101"/>
      <c r="AE459" s="101"/>
    </row>
    <row r="460" spans="1:31" ht="15.6" hidden="1" customHeight="1" x14ac:dyDescent="0.2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168" t="s">
        <v>237</v>
      </c>
      <c r="S460" s="63" t="s">
        <v>0</v>
      </c>
      <c r="T460" s="1">
        <f>SUM(T461:T464)</f>
        <v>465.4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3"/>
        <v>465.4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19</v>
      </c>
      <c r="N461" s="54" t="s">
        <v>18</v>
      </c>
      <c r="O461" s="54" t="s">
        <v>24</v>
      </c>
      <c r="P461" s="54" t="s">
        <v>22</v>
      </c>
      <c r="Q461" s="54" t="s">
        <v>45</v>
      </c>
      <c r="R461" s="168"/>
      <c r="S461" s="63" t="s">
        <v>0</v>
      </c>
      <c r="T461" s="1">
        <v>178.8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3"/>
        <v>178.8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46</v>
      </c>
      <c r="R462" s="168"/>
      <c r="S462" s="63" t="s">
        <v>0</v>
      </c>
      <c r="T462" s="1">
        <v>10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3"/>
        <v>10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46</v>
      </c>
      <c r="R463" s="168"/>
      <c r="S463" s="63" t="s">
        <v>0</v>
      </c>
      <c r="T463" s="1">
        <v>97.7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103"/>
        <v>97.7</v>
      </c>
      <c r="AB463" s="58">
        <v>2018</v>
      </c>
      <c r="AC463" s="9"/>
      <c r="AD463" s="101"/>
      <c r="AE463" s="101"/>
    </row>
    <row r="464" spans="1:31" ht="15.6" hidden="1" customHeight="1" x14ac:dyDescent="0.25">
      <c r="A464" s="54" t="s">
        <v>18</v>
      </c>
      <c r="B464" s="54" t="s">
        <v>18</v>
      </c>
      <c r="C464" s="54" t="s">
        <v>25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18</v>
      </c>
      <c r="L464" s="54" t="s">
        <v>20</v>
      </c>
      <c r="M464" s="54" t="s">
        <v>37</v>
      </c>
      <c r="N464" s="54" t="s">
        <v>18</v>
      </c>
      <c r="O464" s="54" t="s">
        <v>24</v>
      </c>
      <c r="P464" s="54" t="s">
        <v>22</v>
      </c>
      <c r="Q464" s="54" t="s">
        <v>39</v>
      </c>
      <c r="R464" s="168"/>
      <c r="S464" s="63" t="s">
        <v>0</v>
      </c>
      <c r="T464" s="1">
        <v>178.9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3"/>
        <v>178.9</v>
      </c>
      <c r="AB464" s="58">
        <v>2018</v>
      </c>
      <c r="AC464" s="9"/>
      <c r="AD464" s="101"/>
      <c r="AE464" s="101"/>
    </row>
    <row r="465" spans="1:31" ht="41.45" hidden="1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80" t="s">
        <v>238</v>
      </c>
      <c r="S465" s="84" t="s">
        <v>167</v>
      </c>
      <c r="T465" s="3">
        <v>127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/>
      <c r="AA465" s="6">
        <f t="shared" si="103"/>
        <v>127</v>
      </c>
      <c r="AB465" s="41">
        <v>2018</v>
      </c>
      <c r="AC465" s="9"/>
      <c r="AD465" s="101"/>
      <c r="AE465" s="101"/>
    </row>
    <row r="466" spans="1:31" ht="15.6" hidden="1" customHeight="1" x14ac:dyDescent="0.2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168" t="s">
        <v>239</v>
      </c>
      <c r="S466" s="63" t="s">
        <v>0</v>
      </c>
      <c r="T466" s="1">
        <f>SUM(T467:T470)</f>
        <v>482.90000000000003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3"/>
        <v>482.90000000000003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19</v>
      </c>
      <c r="N467" s="54" t="s">
        <v>18</v>
      </c>
      <c r="O467" s="54" t="s">
        <v>24</v>
      </c>
      <c r="P467" s="54" t="s">
        <v>22</v>
      </c>
      <c r="Q467" s="54" t="s">
        <v>45</v>
      </c>
      <c r="R467" s="168"/>
      <c r="S467" s="63" t="s">
        <v>0</v>
      </c>
      <c r="T467" s="1">
        <v>193.2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3"/>
        <v>193.2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46</v>
      </c>
      <c r="R468" s="168"/>
      <c r="S468" s="63" t="s">
        <v>0</v>
      </c>
      <c r="T468" s="1">
        <v>10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3"/>
        <v>10</v>
      </c>
      <c r="AB468" s="58">
        <v>2018</v>
      </c>
      <c r="AC468" s="9"/>
      <c r="AD468" s="101"/>
      <c r="AE468" s="101"/>
    </row>
    <row r="469" spans="1:31" ht="15.6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46</v>
      </c>
      <c r="R469" s="168"/>
      <c r="S469" s="63" t="s">
        <v>0</v>
      </c>
      <c r="T469" s="1">
        <v>101.4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103"/>
        <v>101.4</v>
      </c>
      <c r="AB469" s="58">
        <v>2018</v>
      </c>
      <c r="AC469" s="9"/>
      <c r="AD469" s="101"/>
      <c r="AE469" s="101"/>
    </row>
    <row r="470" spans="1:31" ht="15.6" hidden="1" customHeight="1" x14ac:dyDescent="0.25">
      <c r="A470" s="54" t="s">
        <v>18</v>
      </c>
      <c r="B470" s="54" t="s">
        <v>18</v>
      </c>
      <c r="C470" s="54" t="s">
        <v>25</v>
      </c>
      <c r="D470" s="54" t="s">
        <v>18</v>
      </c>
      <c r="E470" s="54" t="s">
        <v>21</v>
      </c>
      <c r="F470" s="54" t="s">
        <v>18</v>
      </c>
      <c r="G470" s="54" t="s">
        <v>22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39</v>
      </c>
      <c r="R470" s="168"/>
      <c r="S470" s="63" t="s">
        <v>0</v>
      </c>
      <c r="T470" s="1">
        <v>178.3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3"/>
        <v>178.3</v>
      </c>
      <c r="AB470" s="58">
        <v>2018</v>
      </c>
      <c r="AC470" s="9"/>
      <c r="AD470" s="101"/>
      <c r="AE470" s="101"/>
    </row>
    <row r="471" spans="1:31" ht="42" hidden="1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80" t="s">
        <v>240</v>
      </c>
      <c r="S471" s="84" t="s">
        <v>167</v>
      </c>
      <c r="T471" s="3">
        <v>131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/>
      <c r="AA471" s="6">
        <f t="shared" si="103"/>
        <v>131</v>
      </c>
      <c r="AB471" s="41">
        <v>2018</v>
      </c>
      <c r="AC471" s="9"/>
      <c r="AD471" s="101"/>
      <c r="AE471" s="101"/>
    </row>
    <row r="472" spans="1:31" ht="18.75" hidden="1" customHeight="1" x14ac:dyDescent="0.25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168" t="s">
        <v>241</v>
      </c>
      <c r="S472" s="63" t="s">
        <v>0</v>
      </c>
      <c r="T472" s="1">
        <f>SUM(T473:T475)</f>
        <v>880.6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3"/>
        <v>880.6</v>
      </c>
      <c r="AB472" s="58">
        <v>2018</v>
      </c>
      <c r="AC472" s="9"/>
      <c r="AD472" s="101"/>
      <c r="AE472" s="101"/>
    </row>
    <row r="473" spans="1:31" ht="18.75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19</v>
      </c>
      <c r="N473" s="54" t="s">
        <v>18</v>
      </c>
      <c r="O473" s="54" t="s">
        <v>24</v>
      </c>
      <c r="P473" s="54" t="s">
        <v>22</v>
      </c>
      <c r="Q473" s="54" t="s">
        <v>45</v>
      </c>
      <c r="R473" s="168"/>
      <c r="S473" s="63" t="s">
        <v>0</v>
      </c>
      <c r="T473" s="1">
        <v>352.2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3"/>
        <v>352.2</v>
      </c>
      <c r="AB473" s="58">
        <v>2018</v>
      </c>
      <c r="AC473" s="9"/>
      <c r="AD473" s="101"/>
      <c r="AE473" s="101"/>
    </row>
    <row r="474" spans="1:31" ht="18.75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46</v>
      </c>
      <c r="R474" s="168"/>
      <c r="S474" s="63" t="s">
        <v>0</v>
      </c>
      <c r="T474" s="1">
        <v>140.9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3"/>
        <v>140.9</v>
      </c>
      <c r="AB474" s="58">
        <v>2018</v>
      </c>
      <c r="AC474" s="9"/>
      <c r="AD474" s="101"/>
      <c r="AE474" s="101"/>
    </row>
    <row r="475" spans="1:31" ht="18.75" hidden="1" customHeight="1" x14ac:dyDescent="0.25">
      <c r="A475" s="54" t="s">
        <v>18</v>
      </c>
      <c r="B475" s="54" t="s">
        <v>18</v>
      </c>
      <c r="C475" s="54" t="s">
        <v>25</v>
      </c>
      <c r="D475" s="54" t="s">
        <v>18</v>
      </c>
      <c r="E475" s="54" t="s">
        <v>21</v>
      </c>
      <c r="F475" s="54" t="s">
        <v>18</v>
      </c>
      <c r="G475" s="54" t="s">
        <v>22</v>
      </c>
      <c r="H475" s="54" t="s">
        <v>19</v>
      </c>
      <c r="I475" s="54" t="s">
        <v>24</v>
      </c>
      <c r="J475" s="54" t="s">
        <v>18</v>
      </c>
      <c r="K475" s="54" t="s">
        <v>18</v>
      </c>
      <c r="L475" s="54" t="s">
        <v>20</v>
      </c>
      <c r="M475" s="54" t="s">
        <v>37</v>
      </c>
      <c r="N475" s="54" t="s">
        <v>18</v>
      </c>
      <c r="O475" s="54" t="s">
        <v>24</v>
      </c>
      <c r="P475" s="54" t="s">
        <v>22</v>
      </c>
      <c r="Q475" s="54" t="s">
        <v>39</v>
      </c>
      <c r="R475" s="168"/>
      <c r="S475" s="63" t="s">
        <v>0</v>
      </c>
      <c r="T475" s="1">
        <v>387.5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/>
      <c r="AA475" s="59">
        <f t="shared" si="103"/>
        <v>387.5</v>
      </c>
      <c r="AB475" s="58">
        <v>2018</v>
      </c>
      <c r="AC475" s="9"/>
      <c r="AD475" s="101"/>
      <c r="AE475" s="101"/>
    </row>
    <row r="476" spans="1:31" ht="46.15" hidden="1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78" t="s">
        <v>242</v>
      </c>
      <c r="S476" s="84" t="s">
        <v>167</v>
      </c>
      <c r="T476" s="3">
        <v>600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/>
      <c r="AA476" s="6">
        <f t="shared" si="103"/>
        <v>600</v>
      </c>
      <c r="AB476" s="41">
        <v>2018</v>
      </c>
      <c r="AC476" s="9"/>
      <c r="AD476" s="101"/>
      <c r="AE476" s="101"/>
    </row>
    <row r="477" spans="1:31" ht="15.6" hidden="1" customHeight="1" x14ac:dyDescent="0.2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168" t="s">
        <v>243</v>
      </c>
      <c r="S477" s="63" t="s">
        <v>0</v>
      </c>
      <c r="T477" s="1">
        <f>SUM(T478:T481)</f>
        <v>293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3"/>
        <v>293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19</v>
      </c>
      <c r="N478" s="54" t="s">
        <v>18</v>
      </c>
      <c r="O478" s="54" t="s">
        <v>24</v>
      </c>
      <c r="P478" s="54" t="s">
        <v>22</v>
      </c>
      <c r="Q478" s="54" t="s">
        <v>45</v>
      </c>
      <c r="R478" s="168"/>
      <c r="S478" s="63" t="s">
        <v>0</v>
      </c>
      <c r="T478" s="1">
        <v>117.2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3"/>
        <v>117.2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68"/>
      <c r="S479" s="63" t="s">
        <v>0</v>
      </c>
      <c r="T479" s="1">
        <v>22.6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3"/>
        <v>22.6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46</v>
      </c>
      <c r="R480" s="168"/>
      <c r="S480" s="63" t="s">
        <v>0</v>
      </c>
      <c r="T480" s="1">
        <v>61.5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3"/>
        <v>61.5</v>
      </c>
      <c r="AB480" s="58">
        <v>2018</v>
      </c>
      <c r="AC480" s="9"/>
      <c r="AD480" s="101"/>
      <c r="AE480" s="101"/>
    </row>
    <row r="481" spans="1:31" ht="15.6" hidden="1" customHeight="1" x14ac:dyDescent="0.25">
      <c r="A481" s="54" t="s">
        <v>18</v>
      </c>
      <c r="B481" s="54" t="s">
        <v>18</v>
      </c>
      <c r="C481" s="54" t="s">
        <v>25</v>
      </c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20</v>
      </c>
      <c r="M481" s="54" t="s">
        <v>37</v>
      </c>
      <c r="N481" s="54" t="s">
        <v>18</v>
      </c>
      <c r="O481" s="54" t="s">
        <v>24</v>
      </c>
      <c r="P481" s="54" t="s">
        <v>22</v>
      </c>
      <c r="Q481" s="54" t="s">
        <v>39</v>
      </c>
      <c r="R481" s="168"/>
      <c r="S481" s="63" t="s">
        <v>0</v>
      </c>
      <c r="T481" s="1">
        <v>91.7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/>
      <c r="AA481" s="59">
        <f t="shared" si="103"/>
        <v>91.7</v>
      </c>
      <c r="AB481" s="58">
        <v>2018</v>
      </c>
      <c r="AC481" s="9"/>
      <c r="AD481" s="101"/>
      <c r="AE481" s="101"/>
    </row>
    <row r="482" spans="1:31" ht="31.15" hidden="1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80" t="s">
        <v>244</v>
      </c>
      <c r="S482" s="84" t="s">
        <v>168</v>
      </c>
      <c r="T482" s="3">
        <v>126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/>
      <c r="AA482" s="6">
        <f t="shared" si="103"/>
        <v>126</v>
      </c>
      <c r="AB482" s="41">
        <v>2018</v>
      </c>
      <c r="AC482" s="9"/>
      <c r="AD482" s="101"/>
      <c r="AE482" s="101"/>
    </row>
    <row r="483" spans="1:31" ht="15.6" hidden="1" customHeight="1" x14ac:dyDescent="0.2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168" t="s">
        <v>245</v>
      </c>
      <c r="S483" s="63" t="s">
        <v>0</v>
      </c>
      <c r="T483" s="1">
        <f>SUM(T484:T487)</f>
        <v>470.59999999999997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3"/>
        <v>470.59999999999997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19</v>
      </c>
      <c r="N484" s="54" t="s">
        <v>18</v>
      </c>
      <c r="O484" s="54" t="s">
        <v>24</v>
      </c>
      <c r="P484" s="54" t="s">
        <v>22</v>
      </c>
      <c r="Q484" s="54" t="s">
        <v>45</v>
      </c>
      <c r="R484" s="168"/>
      <c r="S484" s="63" t="s">
        <v>0</v>
      </c>
      <c r="T484" s="1">
        <v>188.2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3"/>
        <v>188.2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68"/>
      <c r="S485" s="63" t="s">
        <v>0</v>
      </c>
      <c r="T485" s="1">
        <v>35.1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3"/>
        <v>35.1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46</v>
      </c>
      <c r="R486" s="168"/>
      <c r="S486" s="63" t="s">
        <v>0</v>
      </c>
      <c r="T486" s="1">
        <v>98.8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3"/>
        <v>98.8</v>
      </c>
      <c r="AB486" s="58">
        <v>2018</v>
      </c>
      <c r="AC486" s="9"/>
      <c r="AD486" s="101"/>
      <c r="AE486" s="101"/>
    </row>
    <row r="487" spans="1:31" ht="15.6" hidden="1" customHeight="1" x14ac:dyDescent="0.25">
      <c r="A487" s="54" t="s">
        <v>18</v>
      </c>
      <c r="B487" s="54" t="s">
        <v>18</v>
      </c>
      <c r="C487" s="54" t="s">
        <v>25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20</v>
      </c>
      <c r="M487" s="54" t="s">
        <v>37</v>
      </c>
      <c r="N487" s="54" t="s">
        <v>18</v>
      </c>
      <c r="O487" s="54" t="s">
        <v>24</v>
      </c>
      <c r="P487" s="54" t="s">
        <v>22</v>
      </c>
      <c r="Q487" s="54" t="s">
        <v>39</v>
      </c>
      <c r="R487" s="168"/>
      <c r="S487" s="63" t="s">
        <v>0</v>
      </c>
      <c r="T487" s="1">
        <v>148.5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/>
      <c r="AA487" s="59">
        <f t="shared" si="103"/>
        <v>148.5</v>
      </c>
      <c r="AB487" s="58">
        <v>2018</v>
      </c>
      <c r="AC487" s="9"/>
      <c r="AD487" s="101"/>
      <c r="AE487" s="101"/>
    </row>
    <row r="488" spans="1:31" ht="31.15" hidden="1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80" t="s">
        <v>246</v>
      </c>
      <c r="S488" s="84" t="s">
        <v>167</v>
      </c>
      <c r="T488" s="3">
        <v>131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/>
      <c r="AA488" s="6">
        <f t="shared" si="103"/>
        <v>131</v>
      </c>
      <c r="AB488" s="41">
        <v>2018</v>
      </c>
      <c r="AC488" s="9"/>
      <c r="AD488" s="101"/>
      <c r="AE488" s="101"/>
    </row>
    <row r="489" spans="1:31" ht="15.6" hidden="1" customHeight="1" x14ac:dyDescent="0.2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168" t="s">
        <v>247</v>
      </c>
      <c r="S489" s="63" t="s">
        <v>0</v>
      </c>
      <c r="T489" s="1">
        <f>SUM(T490:T493)</f>
        <v>879.8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/>
      <c r="AA489" s="59">
        <f t="shared" si="103"/>
        <v>879.8</v>
      </c>
      <c r="AB489" s="58">
        <v>2018</v>
      </c>
      <c r="AC489" s="9"/>
      <c r="AD489" s="101"/>
      <c r="AE489" s="101"/>
    </row>
    <row r="490" spans="1:31" ht="15.6" hidden="1" customHeight="1" x14ac:dyDescent="0.25">
      <c r="A490" s="54" t="s">
        <v>18</v>
      </c>
      <c r="B490" s="54" t="s">
        <v>18</v>
      </c>
      <c r="C490" s="54" t="s">
        <v>25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20</v>
      </c>
      <c r="M490" s="54" t="s">
        <v>19</v>
      </c>
      <c r="N490" s="54" t="s">
        <v>18</v>
      </c>
      <c r="O490" s="54" t="s">
        <v>24</v>
      </c>
      <c r="P490" s="54" t="s">
        <v>22</v>
      </c>
      <c r="Q490" s="54" t="s">
        <v>45</v>
      </c>
      <c r="R490" s="168"/>
      <c r="S490" s="63" t="s">
        <v>0</v>
      </c>
      <c r="T490" s="1">
        <v>350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/>
      <c r="AA490" s="59">
        <f t="shared" si="103"/>
        <v>350</v>
      </c>
      <c r="AB490" s="58">
        <v>2018</v>
      </c>
      <c r="AC490" s="9"/>
      <c r="AD490" s="101"/>
      <c r="AE490" s="101"/>
    </row>
    <row r="491" spans="1:31" ht="15.6" hidden="1" customHeight="1" x14ac:dyDescent="0.25">
      <c r="A491" s="54" t="s">
        <v>18</v>
      </c>
      <c r="B491" s="54" t="s">
        <v>18</v>
      </c>
      <c r="C491" s="54" t="s">
        <v>25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37</v>
      </c>
      <c r="N491" s="54" t="s">
        <v>18</v>
      </c>
      <c r="O491" s="54" t="s">
        <v>24</v>
      </c>
      <c r="P491" s="54" t="s">
        <v>22</v>
      </c>
      <c r="Q491" s="54" t="s">
        <v>46</v>
      </c>
      <c r="R491" s="168"/>
      <c r="S491" s="63" t="s">
        <v>0</v>
      </c>
      <c r="T491" s="1">
        <v>10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/>
      <c r="AA491" s="59">
        <f t="shared" si="103"/>
        <v>10</v>
      </c>
      <c r="AB491" s="58">
        <v>2018</v>
      </c>
      <c r="AC491" s="9"/>
      <c r="AD491" s="101"/>
      <c r="AE491" s="101"/>
    </row>
    <row r="492" spans="1:31" ht="15.6" hidden="1" customHeight="1" x14ac:dyDescent="0.25">
      <c r="A492" s="54" t="s">
        <v>18</v>
      </c>
      <c r="B492" s="54" t="s">
        <v>18</v>
      </c>
      <c r="C492" s="54" t="s">
        <v>25</v>
      </c>
      <c r="D492" s="54" t="s">
        <v>18</v>
      </c>
      <c r="E492" s="54" t="s">
        <v>21</v>
      </c>
      <c r="F492" s="54" t="s">
        <v>18</v>
      </c>
      <c r="G492" s="54" t="s">
        <v>22</v>
      </c>
      <c r="H492" s="54" t="s">
        <v>19</v>
      </c>
      <c r="I492" s="54" t="s">
        <v>24</v>
      </c>
      <c r="J492" s="54" t="s">
        <v>18</v>
      </c>
      <c r="K492" s="54" t="s">
        <v>18</v>
      </c>
      <c r="L492" s="54" t="s">
        <v>20</v>
      </c>
      <c r="M492" s="54" t="s">
        <v>37</v>
      </c>
      <c r="N492" s="54" t="s">
        <v>18</v>
      </c>
      <c r="O492" s="54" t="s">
        <v>24</v>
      </c>
      <c r="P492" s="54" t="s">
        <v>22</v>
      </c>
      <c r="Q492" s="54" t="s">
        <v>46</v>
      </c>
      <c r="R492" s="168"/>
      <c r="S492" s="63" t="s">
        <v>0</v>
      </c>
      <c r="T492" s="1">
        <v>141.69999999999999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/>
      <c r="AA492" s="59">
        <f t="shared" si="103"/>
        <v>141.69999999999999</v>
      </c>
      <c r="AB492" s="58">
        <v>2018</v>
      </c>
      <c r="AC492" s="9"/>
      <c r="AD492" s="101"/>
      <c r="AE492" s="101"/>
    </row>
    <row r="493" spans="1:31" ht="15.6" hidden="1" customHeight="1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37</v>
      </c>
      <c r="N493" s="54" t="s">
        <v>18</v>
      </c>
      <c r="O493" s="54" t="s">
        <v>24</v>
      </c>
      <c r="P493" s="54" t="s">
        <v>22</v>
      </c>
      <c r="Q493" s="54" t="s">
        <v>39</v>
      </c>
      <c r="R493" s="168"/>
      <c r="S493" s="63" t="s">
        <v>0</v>
      </c>
      <c r="T493" s="1">
        <v>378.1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/>
      <c r="AA493" s="59">
        <f t="shared" si="103"/>
        <v>378.1</v>
      </c>
      <c r="AB493" s="58">
        <v>2018</v>
      </c>
      <c r="AC493" s="9"/>
      <c r="AD493" s="101"/>
      <c r="AE493" s="101"/>
    </row>
    <row r="494" spans="1:31" ht="27.6" hidden="1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90" t="s">
        <v>248</v>
      </c>
      <c r="S494" s="89" t="s">
        <v>167</v>
      </c>
      <c r="T494" s="3">
        <v>500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/>
      <c r="AA494" s="6">
        <f t="shared" si="103"/>
        <v>500</v>
      </c>
      <c r="AB494" s="41">
        <v>2018</v>
      </c>
      <c r="AC494" s="9"/>
      <c r="AD494" s="101"/>
      <c r="AE494" s="101"/>
    </row>
    <row r="495" spans="1:31" ht="17.25" hidden="1" customHeight="1" x14ac:dyDescent="0.2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168" t="s">
        <v>249</v>
      </c>
      <c r="S495" s="63" t="s">
        <v>0</v>
      </c>
      <c r="T495" s="1">
        <f>SUM(T496:T499)</f>
        <v>811.21499999999992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/>
      <c r="AA495" s="59">
        <f t="shared" si="103"/>
        <v>811.21499999999992</v>
      </c>
      <c r="AB495" s="58">
        <v>2018</v>
      </c>
      <c r="AC495" s="9"/>
      <c r="AD495" s="101"/>
      <c r="AE495" s="101"/>
    </row>
    <row r="496" spans="1:31" ht="15.6" hidden="1" customHeight="1" x14ac:dyDescent="0.25">
      <c r="A496" s="54" t="s">
        <v>18</v>
      </c>
      <c r="B496" s="54" t="s">
        <v>18</v>
      </c>
      <c r="C496" s="54" t="s">
        <v>25</v>
      </c>
      <c r="D496" s="54" t="s">
        <v>18</v>
      </c>
      <c r="E496" s="54" t="s">
        <v>21</v>
      </c>
      <c r="F496" s="54" t="s">
        <v>18</v>
      </c>
      <c r="G496" s="54" t="s">
        <v>22</v>
      </c>
      <c r="H496" s="54" t="s">
        <v>19</v>
      </c>
      <c r="I496" s="54" t="s">
        <v>24</v>
      </c>
      <c r="J496" s="54" t="s">
        <v>18</v>
      </c>
      <c r="K496" s="54" t="s">
        <v>18</v>
      </c>
      <c r="L496" s="54" t="s">
        <v>20</v>
      </c>
      <c r="M496" s="54" t="s">
        <v>19</v>
      </c>
      <c r="N496" s="54" t="s">
        <v>18</v>
      </c>
      <c r="O496" s="54" t="s">
        <v>24</v>
      </c>
      <c r="P496" s="54" t="s">
        <v>22</v>
      </c>
      <c r="Q496" s="54" t="s">
        <v>45</v>
      </c>
      <c r="R496" s="168"/>
      <c r="S496" s="63" t="s">
        <v>0</v>
      </c>
      <c r="T496" s="1">
        <v>324.51499999999999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/>
      <c r="AA496" s="59">
        <f t="shared" si="103"/>
        <v>324.51499999999999</v>
      </c>
      <c r="AB496" s="58">
        <v>2018</v>
      </c>
      <c r="AC496" s="9"/>
      <c r="AD496" s="101"/>
      <c r="AE496" s="101"/>
    </row>
    <row r="497" spans="1:31" ht="15.6" hidden="1" customHeight="1" x14ac:dyDescent="0.25">
      <c r="A497" s="54" t="s">
        <v>18</v>
      </c>
      <c r="B497" s="54" t="s">
        <v>18</v>
      </c>
      <c r="C497" s="54" t="s">
        <v>25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18</v>
      </c>
      <c r="L497" s="54" t="s">
        <v>20</v>
      </c>
      <c r="M497" s="54" t="s">
        <v>37</v>
      </c>
      <c r="N497" s="54" t="s">
        <v>18</v>
      </c>
      <c r="O497" s="54" t="s">
        <v>24</v>
      </c>
      <c r="P497" s="54" t="s">
        <v>22</v>
      </c>
      <c r="Q497" s="54" t="s">
        <v>46</v>
      </c>
      <c r="R497" s="168"/>
      <c r="S497" s="63" t="s">
        <v>0</v>
      </c>
      <c r="T497" s="1">
        <v>15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/>
      <c r="AA497" s="59">
        <f t="shared" si="103"/>
        <v>15</v>
      </c>
      <c r="AB497" s="58">
        <v>2018</v>
      </c>
      <c r="AC497" s="9"/>
      <c r="AD497" s="101"/>
      <c r="AE497" s="101"/>
    </row>
    <row r="498" spans="1:31" ht="15.6" hidden="1" customHeight="1" x14ac:dyDescent="0.25">
      <c r="A498" s="54" t="s">
        <v>18</v>
      </c>
      <c r="B498" s="54" t="s">
        <v>18</v>
      </c>
      <c r="C498" s="54" t="s">
        <v>25</v>
      </c>
      <c r="D498" s="54" t="s">
        <v>18</v>
      </c>
      <c r="E498" s="54" t="s">
        <v>21</v>
      </c>
      <c r="F498" s="54" t="s">
        <v>18</v>
      </c>
      <c r="G498" s="54" t="s">
        <v>22</v>
      </c>
      <c r="H498" s="54" t="s">
        <v>19</v>
      </c>
      <c r="I498" s="54" t="s">
        <v>24</v>
      </c>
      <c r="J498" s="54" t="s">
        <v>18</v>
      </c>
      <c r="K498" s="54" t="s">
        <v>18</v>
      </c>
      <c r="L498" s="54" t="s">
        <v>20</v>
      </c>
      <c r="M498" s="54" t="s">
        <v>37</v>
      </c>
      <c r="N498" s="54" t="s">
        <v>18</v>
      </c>
      <c r="O498" s="54" t="s">
        <v>24</v>
      </c>
      <c r="P498" s="54" t="s">
        <v>22</v>
      </c>
      <c r="Q498" s="54" t="s">
        <v>46</v>
      </c>
      <c r="R498" s="168"/>
      <c r="S498" s="63" t="s">
        <v>0</v>
      </c>
      <c r="T498" s="1">
        <v>170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/>
      <c r="AA498" s="59">
        <f t="shared" si="103"/>
        <v>170</v>
      </c>
      <c r="AB498" s="58">
        <v>2018</v>
      </c>
      <c r="AC498" s="9"/>
      <c r="AD498" s="101"/>
      <c r="AE498" s="101"/>
    </row>
    <row r="499" spans="1:31" ht="15.6" hidden="1" customHeight="1" x14ac:dyDescent="0.25">
      <c r="A499" s="54" t="s">
        <v>18</v>
      </c>
      <c r="B499" s="54" t="s">
        <v>18</v>
      </c>
      <c r="C499" s="54" t="s">
        <v>25</v>
      </c>
      <c r="D499" s="54" t="s">
        <v>18</v>
      </c>
      <c r="E499" s="54" t="s">
        <v>21</v>
      </c>
      <c r="F499" s="54" t="s">
        <v>18</v>
      </c>
      <c r="G499" s="54" t="s">
        <v>22</v>
      </c>
      <c r="H499" s="54" t="s">
        <v>19</v>
      </c>
      <c r="I499" s="54" t="s">
        <v>24</v>
      </c>
      <c r="J499" s="54" t="s">
        <v>18</v>
      </c>
      <c r="K499" s="54" t="s">
        <v>18</v>
      </c>
      <c r="L499" s="54" t="s">
        <v>20</v>
      </c>
      <c r="M499" s="54" t="s">
        <v>37</v>
      </c>
      <c r="N499" s="54" t="s">
        <v>18</v>
      </c>
      <c r="O499" s="54" t="s">
        <v>24</v>
      </c>
      <c r="P499" s="54" t="s">
        <v>22</v>
      </c>
      <c r="Q499" s="54" t="s">
        <v>39</v>
      </c>
      <c r="R499" s="168"/>
      <c r="S499" s="63" t="s">
        <v>0</v>
      </c>
      <c r="T499" s="1">
        <v>301.7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/>
      <c r="AA499" s="59">
        <f t="shared" si="103"/>
        <v>301.7</v>
      </c>
      <c r="AB499" s="58">
        <v>2018</v>
      </c>
      <c r="AC499" s="9"/>
      <c r="AD499" s="101"/>
      <c r="AE499" s="101"/>
    </row>
    <row r="500" spans="1:31" ht="31.15" hidden="1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80" t="s">
        <v>250</v>
      </c>
      <c r="S500" s="84" t="s">
        <v>8</v>
      </c>
      <c r="T500" s="44">
        <v>1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  <c r="Z500" s="44"/>
      <c r="AA500" s="49">
        <f t="shared" si="103"/>
        <v>1</v>
      </c>
      <c r="AB500" s="41">
        <v>2018</v>
      </c>
      <c r="AC500" s="9"/>
      <c r="AD500" s="101"/>
      <c r="AE500" s="101"/>
    </row>
    <row r="501" spans="1:31" ht="15.6" hidden="1" customHeight="1" x14ac:dyDescent="0.25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168" t="s">
        <v>251</v>
      </c>
      <c r="S501" s="63" t="s">
        <v>0</v>
      </c>
      <c r="T501" s="1">
        <f>SUM(T502:T505)</f>
        <v>1054.8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/>
      <c r="AA501" s="59">
        <f t="shared" si="103"/>
        <v>1054.8</v>
      </c>
      <c r="AB501" s="58">
        <v>2018</v>
      </c>
      <c r="AC501" s="9"/>
      <c r="AD501" s="101"/>
      <c r="AE501" s="101"/>
    </row>
    <row r="502" spans="1:31" ht="15.6" hidden="1" customHeight="1" x14ac:dyDescent="0.25">
      <c r="A502" s="54" t="s">
        <v>18</v>
      </c>
      <c r="B502" s="54" t="s">
        <v>18</v>
      </c>
      <c r="C502" s="54" t="s">
        <v>25</v>
      </c>
      <c r="D502" s="54" t="s">
        <v>18</v>
      </c>
      <c r="E502" s="54" t="s">
        <v>21</v>
      </c>
      <c r="F502" s="54" t="s">
        <v>18</v>
      </c>
      <c r="G502" s="54" t="s">
        <v>22</v>
      </c>
      <c r="H502" s="54" t="s">
        <v>19</v>
      </c>
      <c r="I502" s="54" t="s">
        <v>24</v>
      </c>
      <c r="J502" s="54" t="s">
        <v>18</v>
      </c>
      <c r="K502" s="54" t="s">
        <v>18</v>
      </c>
      <c r="L502" s="54" t="s">
        <v>20</v>
      </c>
      <c r="M502" s="54" t="s">
        <v>19</v>
      </c>
      <c r="N502" s="54" t="s">
        <v>18</v>
      </c>
      <c r="O502" s="54" t="s">
        <v>24</v>
      </c>
      <c r="P502" s="54" t="s">
        <v>22</v>
      </c>
      <c r="Q502" s="54" t="s">
        <v>45</v>
      </c>
      <c r="R502" s="168"/>
      <c r="S502" s="63" t="s">
        <v>0</v>
      </c>
      <c r="T502" s="1">
        <v>396.1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/>
      <c r="AA502" s="59">
        <f t="shared" si="103"/>
        <v>396.1</v>
      </c>
      <c r="AB502" s="58">
        <v>2018</v>
      </c>
      <c r="AC502" s="9"/>
      <c r="AD502" s="101"/>
      <c r="AE502" s="101"/>
    </row>
    <row r="503" spans="1:31" ht="15.6" hidden="1" customHeight="1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20</v>
      </c>
      <c r="M503" s="54" t="s">
        <v>37</v>
      </c>
      <c r="N503" s="54" t="s">
        <v>18</v>
      </c>
      <c r="O503" s="54" t="s">
        <v>24</v>
      </c>
      <c r="P503" s="54" t="s">
        <v>22</v>
      </c>
      <c r="Q503" s="54" t="s">
        <v>46</v>
      </c>
      <c r="R503" s="168"/>
      <c r="S503" s="63" t="s">
        <v>0</v>
      </c>
      <c r="T503" s="1">
        <v>5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/>
      <c r="AA503" s="59">
        <f t="shared" si="103"/>
        <v>5</v>
      </c>
      <c r="AB503" s="58">
        <v>2018</v>
      </c>
      <c r="AC503" s="9"/>
      <c r="AD503" s="101"/>
      <c r="AE503" s="101"/>
    </row>
    <row r="504" spans="1:31" ht="15.6" hidden="1" customHeight="1" x14ac:dyDescent="0.25">
      <c r="A504" s="54" t="s">
        <v>18</v>
      </c>
      <c r="B504" s="54" t="s">
        <v>18</v>
      </c>
      <c r="C504" s="54" t="s">
        <v>25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20</v>
      </c>
      <c r="M504" s="54" t="s">
        <v>37</v>
      </c>
      <c r="N504" s="54" t="s">
        <v>18</v>
      </c>
      <c r="O504" s="54" t="s">
        <v>24</v>
      </c>
      <c r="P504" s="54" t="s">
        <v>22</v>
      </c>
      <c r="Q504" s="54" t="s">
        <v>46</v>
      </c>
      <c r="R504" s="168"/>
      <c r="S504" s="63" t="s">
        <v>0</v>
      </c>
      <c r="T504" s="1">
        <v>253.7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/>
      <c r="AA504" s="59">
        <f t="shared" si="103"/>
        <v>253.7</v>
      </c>
      <c r="AB504" s="58">
        <v>2018</v>
      </c>
      <c r="AC504" s="9"/>
      <c r="AD504" s="101"/>
      <c r="AE504" s="101"/>
    </row>
    <row r="505" spans="1:31" ht="15.6" hidden="1" customHeight="1" x14ac:dyDescent="0.25">
      <c r="A505" s="54" t="s">
        <v>18</v>
      </c>
      <c r="B505" s="54" t="s">
        <v>18</v>
      </c>
      <c r="C505" s="54" t="s">
        <v>25</v>
      </c>
      <c r="D505" s="54" t="s">
        <v>18</v>
      </c>
      <c r="E505" s="54" t="s">
        <v>21</v>
      </c>
      <c r="F505" s="54" t="s">
        <v>18</v>
      </c>
      <c r="G505" s="54" t="s">
        <v>22</v>
      </c>
      <c r="H505" s="54" t="s">
        <v>19</v>
      </c>
      <c r="I505" s="54" t="s">
        <v>24</v>
      </c>
      <c r="J505" s="54" t="s">
        <v>18</v>
      </c>
      <c r="K505" s="54" t="s">
        <v>18</v>
      </c>
      <c r="L505" s="54" t="s">
        <v>20</v>
      </c>
      <c r="M505" s="54" t="s">
        <v>37</v>
      </c>
      <c r="N505" s="54" t="s">
        <v>18</v>
      </c>
      <c r="O505" s="54" t="s">
        <v>24</v>
      </c>
      <c r="P505" s="54" t="s">
        <v>22</v>
      </c>
      <c r="Q505" s="54" t="s">
        <v>39</v>
      </c>
      <c r="R505" s="168"/>
      <c r="S505" s="63" t="s">
        <v>0</v>
      </c>
      <c r="T505" s="1">
        <v>400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/>
      <c r="AA505" s="59">
        <f t="shared" si="103"/>
        <v>400</v>
      </c>
      <c r="AB505" s="58">
        <v>2018</v>
      </c>
      <c r="AC505" s="9"/>
      <c r="AD505" s="101"/>
      <c r="AE505" s="101"/>
    </row>
    <row r="506" spans="1:31" ht="31.15" hidden="1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80" t="s">
        <v>252</v>
      </c>
      <c r="S506" s="84" t="s">
        <v>8</v>
      </c>
      <c r="T506" s="44">
        <v>1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/>
      <c r="AA506" s="49">
        <f>SUM(T506:Y506)</f>
        <v>1</v>
      </c>
      <c r="AB506" s="41">
        <v>2018</v>
      </c>
      <c r="AC506" s="9"/>
      <c r="AD506" s="101"/>
      <c r="AE506" s="101"/>
    </row>
    <row r="507" spans="1:31" ht="31.5" hidden="1" x14ac:dyDescent="0.25">
      <c r="A507" s="54" t="s">
        <v>18</v>
      </c>
      <c r="B507" s="54" t="s">
        <v>19</v>
      </c>
      <c r="C507" s="54" t="s">
        <v>20</v>
      </c>
      <c r="D507" s="54" t="s">
        <v>18</v>
      </c>
      <c r="E507" s="54" t="s">
        <v>24</v>
      </c>
      <c r="F507" s="54" t="s">
        <v>18</v>
      </c>
      <c r="G507" s="54" t="s">
        <v>43</v>
      </c>
      <c r="H507" s="54" t="s">
        <v>19</v>
      </c>
      <c r="I507" s="54" t="s">
        <v>24</v>
      </c>
      <c r="J507" s="54" t="s">
        <v>18</v>
      </c>
      <c r="K507" s="54" t="s">
        <v>18</v>
      </c>
      <c r="L507" s="54" t="s">
        <v>20</v>
      </c>
      <c r="M507" s="54" t="s">
        <v>37</v>
      </c>
      <c r="N507" s="54" t="s">
        <v>18</v>
      </c>
      <c r="O507" s="54" t="s">
        <v>24</v>
      </c>
      <c r="P507" s="54" t="s">
        <v>22</v>
      </c>
      <c r="Q507" s="54" t="s">
        <v>18</v>
      </c>
      <c r="R507" s="77" t="s">
        <v>133</v>
      </c>
      <c r="S507" s="55" t="s">
        <v>0</v>
      </c>
      <c r="T507" s="1">
        <f>10000-9745-255</f>
        <v>0</v>
      </c>
      <c r="U507" s="1">
        <f>226.8-200-26.8</f>
        <v>0</v>
      </c>
      <c r="V507" s="1">
        <f>8228.3-8228.3</f>
        <v>0</v>
      </c>
      <c r="W507" s="1">
        <v>0</v>
      </c>
      <c r="X507" s="1">
        <f t="shared" ref="X507" si="104">8228.3-8228.3</f>
        <v>0</v>
      </c>
      <c r="Y507" s="1">
        <v>0</v>
      </c>
      <c r="Z507" s="1">
        <v>0</v>
      </c>
      <c r="AA507" s="59">
        <f t="shared" ref="AA507:AA542" si="105">SUM(T507:Z507)</f>
        <v>0</v>
      </c>
      <c r="AB507" s="58">
        <v>0</v>
      </c>
      <c r="AC507" s="118"/>
      <c r="AD507" s="101"/>
      <c r="AE507" s="101"/>
    </row>
    <row r="508" spans="1:31" ht="47.25" hidden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78" t="s">
        <v>307</v>
      </c>
      <c r="S508" s="62" t="s">
        <v>52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6">
        <f t="shared" si="105"/>
        <v>0</v>
      </c>
      <c r="AB508" s="41">
        <v>0</v>
      </c>
      <c r="AC508" s="128"/>
      <c r="AD508" s="101"/>
      <c r="AE508" s="101"/>
    </row>
    <row r="509" spans="1:31" ht="47.25" hidden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78" t="s">
        <v>308</v>
      </c>
      <c r="S509" s="62" t="s">
        <v>38</v>
      </c>
      <c r="T509" s="44">
        <v>0</v>
      </c>
      <c r="U509" s="44">
        <v>0</v>
      </c>
      <c r="V509" s="44">
        <v>0</v>
      </c>
      <c r="W509" s="44">
        <v>0</v>
      </c>
      <c r="X509" s="44">
        <v>0</v>
      </c>
      <c r="Y509" s="44">
        <v>0</v>
      </c>
      <c r="Z509" s="44">
        <v>0</v>
      </c>
      <c r="AA509" s="49">
        <f t="shared" si="105"/>
        <v>0</v>
      </c>
      <c r="AB509" s="41">
        <v>0</v>
      </c>
      <c r="AC509" s="128"/>
      <c r="AD509" s="101"/>
      <c r="AE509" s="101"/>
    </row>
    <row r="510" spans="1:31" s="51" customFormat="1" x14ac:dyDescent="0.25">
      <c r="A510" s="54" t="s">
        <v>18</v>
      </c>
      <c r="B510" s="54" t="s">
        <v>24</v>
      </c>
      <c r="C510" s="54" t="s">
        <v>22</v>
      </c>
      <c r="D510" s="54" t="s">
        <v>18</v>
      </c>
      <c r="E510" s="54" t="s">
        <v>21</v>
      </c>
      <c r="F510" s="54" t="s">
        <v>18</v>
      </c>
      <c r="G510" s="54" t="s">
        <v>22</v>
      </c>
      <c r="H510" s="54" t="s">
        <v>19</v>
      </c>
      <c r="I510" s="54" t="s">
        <v>24</v>
      </c>
      <c r="J510" s="54" t="s">
        <v>18</v>
      </c>
      <c r="K510" s="54" t="s">
        <v>257</v>
      </c>
      <c r="L510" s="54" t="s">
        <v>20</v>
      </c>
      <c r="M510" s="54" t="s">
        <v>18</v>
      </c>
      <c r="N510" s="54" t="s">
        <v>18</v>
      </c>
      <c r="O510" s="54" t="s">
        <v>18</v>
      </c>
      <c r="P510" s="54" t="s">
        <v>18</v>
      </c>
      <c r="Q510" s="54" t="s">
        <v>18</v>
      </c>
      <c r="R510" s="169" t="s">
        <v>319</v>
      </c>
      <c r="S510" s="165" t="s">
        <v>0</v>
      </c>
      <c r="T510" s="59">
        <v>0</v>
      </c>
      <c r="U510" s="59">
        <f>2801.1-100-2701.1</f>
        <v>0</v>
      </c>
      <c r="V510" s="59">
        <f>2801.1-2801.1</f>
        <v>0</v>
      </c>
      <c r="W510" s="59">
        <f>SUM(W511:W512)</f>
        <v>15653.2</v>
      </c>
      <c r="X510" s="59">
        <f t="shared" ref="X510:Z510" si="106">SUM(X511:X512)</f>
        <v>11802.699999999999</v>
      </c>
      <c r="Y510" s="59">
        <f t="shared" si="106"/>
        <v>5000</v>
      </c>
      <c r="Z510" s="59">
        <f t="shared" si="106"/>
        <v>5000</v>
      </c>
      <c r="AA510" s="59">
        <f t="shared" ref="AA510:AA514" si="107">SUM(T510:Z510)</f>
        <v>37455.9</v>
      </c>
      <c r="AB510" s="58">
        <v>2024</v>
      </c>
      <c r="AC510" s="33"/>
      <c r="AD510" s="50"/>
    </row>
    <row r="511" spans="1:31" s="51" customFormat="1" x14ac:dyDescent="0.25">
      <c r="A511" s="54" t="s">
        <v>18</v>
      </c>
      <c r="B511" s="54" t="s">
        <v>24</v>
      </c>
      <c r="C511" s="54" t="s">
        <v>22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257</v>
      </c>
      <c r="L511" s="54" t="s">
        <v>20</v>
      </c>
      <c r="M511" s="54" t="s">
        <v>21</v>
      </c>
      <c r="N511" s="54" t="s">
        <v>21</v>
      </c>
      <c r="O511" s="54" t="s">
        <v>21</v>
      </c>
      <c r="P511" s="54" t="s">
        <v>21</v>
      </c>
      <c r="Q511" s="54" t="s">
        <v>20</v>
      </c>
      <c r="R511" s="170"/>
      <c r="S511" s="166"/>
      <c r="T511" s="1">
        <v>0</v>
      </c>
      <c r="U511" s="1">
        <f t="shared" ref="U511:U512" si="108">2801.1-100-2701.1</f>
        <v>0</v>
      </c>
      <c r="V511" s="1">
        <f t="shared" ref="V511:V512" si="109">2801.1-2801.1</f>
        <v>0</v>
      </c>
      <c r="W511" s="1">
        <f>15752-435.9</f>
        <v>15316.1</v>
      </c>
      <c r="X511" s="1">
        <f>11439.8+115.6</f>
        <v>11555.4</v>
      </c>
      <c r="Y511" s="1">
        <v>5000</v>
      </c>
      <c r="Z511" s="1">
        <v>5000</v>
      </c>
      <c r="AA511" s="59">
        <f t="shared" si="107"/>
        <v>36871.5</v>
      </c>
      <c r="AB511" s="58">
        <v>2024</v>
      </c>
      <c r="AC511" s="33"/>
      <c r="AD511" s="50"/>
    </row>
    <row r="512" spans="1:31" s="51" customFormat="1" x14ac:dyDescent="0.25">
      <c r="A512" s="54" t="s">
        <v>18</v>
      </c>
      <c r="B512" s="54" t="s">
        <v>24</v>
      </c>
      <c r="C512" s="54" t="s">
        <v>22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257</v>
      </c>
      <c r="L512" s="54" t="s">
        <v>20</v>
      </c>
      <c r="M512" s="54" t="s">
        <v>18</v>
      </c>
      <c r="N512" s="54" t="s">
        <v>18</v>
      </c>
      <c r="O512" s="54" t="s">
        <v>21</v>
      </c>
      <c r="P512" s="54" t="s">
        <v>21</v>
      </c>
      <c r="Q512" s="54" t="s">
        <v>20</v>
      </c>
      <c r="R512" s="171"/>
      <c r="S512" s="167"/>
      <c r="T512" s="1">
        <v>0</v>
      </c>
      <c r="U512" s="1">
        <f t="shared" si="108"/>
        <v>0</v>
      </c>
      <c r="V512" s="1">
        <f t="shared" si="109"/>
        <v>0</v>
      </c>
      <c r="W512" s="1">
        <v>337.1</v>
      </c>
      <c r="X512" s="1">
        <f>247.3</f>
        <v>247.3</v>
      </c>
      <c r="Y512" s="1">
        <v>0</v>
      </c>
      <c r="Z512" s="1">
        <v>0</v>
      </c>
      <c r="AA512" s="59">
        <f t="shared" si="107"/>
        <v>584.40000000000009</v>
      </c>
      <c r="AB512" s="58">
        <v>2024</v>
      </c>
      <c r="AC512" s="33"/>
      <c r="AD512" s="50"/>
    </row>
    <row r="513" spans="1:30" s="51" customFormat="1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 t="s">
        <v>229</v>
      </c>
      <c r="S513" s="52" t="s">
        <v>38</v>
      </c>
      <c r="T513" s="44">
        <v>0</v>
      </c>
      <c r="U513" s="44">
        <v>0</v>
      </c>
      <c r="V513" s="44">
        <v>0</v>
      </c>
      <c r="W513" s="44">
        <v>2</v>
      </c>
      <c r="X513" s="44">
        <v>1</v>
      </c>
      <c r="Y513" s="44">
        <v>2</v>
      </c>
      <c r="Z513" s="44">
        <v>2</v>
      </c>
      <c r="AA513" s="49">
        <f>SUM(T513:Z513)</f>
        <v>7</v>
      </c>
      <c r="AB513" s="153">
        <v>2024</v>
      </c>
      <c r="AC513" s="33"/>
      <c r="AD513" s="50"/>
    </row>
    <row r="514" spans="1:30" s="8" customFormat="1" ht="31.5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1" t="s">
        <v>230</v>
      </c>
      <c r="S514" s="62" t="s">
        <v>52</v>
      </c>
      <c r="T514" s="3">
        <v>0</v>
      </c>
      <c r="U514" s="3">
        <v>0</v>
      </c>
      <c r="V514" s="3">
        <v>0</v>
      </c>
      <c r="W514" s="3">
        <v>6.4</v>
      </c>
      <c r="X514" s="3">
        <v>10.6</v>
      </c>
      <c r="Y514" s="3">
        <v>5</v>
      </c>
      <c r="Z514" s="3">
        <v>5</v>
      </c>
      <c r="AA514" s="53">
        <f t="shared" si="107"/>
        <v>27</v>
      </c>
      <c r="AB514" s="153">
        <v>2024</v>
      </c>
      <c r="AC514" s="33"/>
      <c r="AD514" s="60"/>
    </row>
    <row r="515" spans="1:30" s="51" customFormat="1" ht="47.25" hidden="1" x14ac:dyDescent="0.25">
      <c r="A515" s="54" t="s">
        <v>18</v>
      </c>
      <c r="B515" s="54" t="s">
        <v>18</v>
      </c>
      <c r="C515" s="54" t="s">
        <v>22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19</v>
      </c>
      <c r="I515" s="54" t="s">
        <v>24</v>
      </c>
      <c r="J515" s="54" t="s">
        <v>18</v>
      </c>
      <c r="K515" s="54" t="s">
        <v>257</v>
      </c>
      <c r="L515" s="54" t="s">
        <v>20</v>
      </c>
      <c r="M515" s="54" t="s">
        <v>21</v>
      </c>
      <c r="N515" s="54" t="s">
        <v>21</v>
      </c>
      <c r="O515" s="54" t="s">
        <v>21</v>
      </c>
      <c r="P515" s="54" t="s">
        <v>21</v>
      </c>
      <c r="Q515" s="54" t="s">
        <v>20</v>
      </c>
      <c r="R515" s="150" t="s">
        <v>319</v>
      </c>
      <c r="S515" s="55" t="s">
        <v>0</v>
      </c>
      <c r="T515" s="1">
        <v>0</v>
      </c>
      <c r="U515" s="1">
        <f>3100.4-200-2900.4</f>
        <v>0</v>
      </c>
      <c r="V515" s="1">
        <f>2000.4-2000.4</f>
        <v>0</v>
      </c>
      <c r="W515" s="1">
        <v>0</v>
      </c>
      <c r="X515" s="1">
        <f>3100.4-200-2900.4</f>
        <v>0</v>
      </c>
      <c r="Y515" s="1">
        <f>2000.4-2000.4</f>
        <v>0</v>
      </c>
      <c r="Z515" s="1">
        <v>0</v>
      </c>
      <c r="AA515" s="59">
        <f t="shared" si="105"/>
        <v>0</v>
      </c>
      <c r="AB515" s="58">
        <v>2024</v>
      </c>
      <c r="AC515" s="33"/>
      <c r="AD515" s="50"/>
    </row>
    <row r="516" spans="1:30" s="51" customFormat="1" ht="47.25" hidden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 t="s">
        <v>126</v>
      </c>
      <c r="S516" s="52" t="s">
        <v>38</v>
      </c>
      <c r="T516" s="44">
        <v>0</v>
      </c>
      <c r="U516" s="44">
        <v>0</v>
      </c>
      <c r="V516" s="44">
        <f>12-12</f>
        <v>0</v>
      </c>
      <c r="W516" s="44">
        <v>0</v>
      </c>
      <c r="X516" s="44">
        <v>0</v>
      </c>
      <c r="Y516" s="44">
        <f>12-12</f>
        <v>0</v>
      </c>
      <c r="Z516" s="44">
        <v>0</v>
      </c>
      <c r="AA516" s="49">
        <f t="shared" si="105"/>
        <v>0</v>
      </c>
      <c r="AB516" s="153">
        <v>2024</v>
      </c>
      <c r="AC516" s="33"/>
      <c r="AD516" s="50"/>
    </row>
    <row r="517" spans="1:30" s="51" customFormat="1" ht="47.25" hidden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127</v>
      </c>
      <c r="S517" s="52" t="s">
        <v>52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53">
        <f t="shared" si="105"/>
        <v>0</v>
      </c>
      <c r="AB517" s="153">
        <v>2024</v>
      </c>
      <c r="AC517" s="33"/>
      <c r="AD517" s="50"/>
    </row>
    <row r="518" spans="1:30" s="51" customFormat="1" ht="47.25" hidden="1" x14ac:dyDescent="0.25">
      <c r="A518" s="54" t="s">
        <v>18</v>
      </c>
      <c r="B518" s="54" t="s">
        <v>18</v>
      </c>
      <c r="C518" s="54" t="s">
        <v>24</v>
      </c>
      <c r="D518" s="54" t="s">
        <v>18</v>
      </c>
      <c r="E518" s="54" t="s">
        <v>21</v>
      </c>
      <c r="F518" s="54" t="s">
        <v>18</v>
      </c>
      <c r="G518" s="54" t="s">
        <v>22</v>
      </c>
      <c r="H518" s="54" t="s">
        <v>19</v>
      </c>
      <c r="I518" s="54" t="s">
        <v>24</v>
      </c>
      <c r="J518" s="54" t="s">
        <v>18</v>
      </c>
      <c r="K518" s="54" t="s">
        <v>257</v>
      </c>
      <c r="L518" s="54" t="s">
        <v>20</v>
      </c>
      <c r="M518" s="54" t="s">
        <v>21</v>
      </c>
      <c r="N518" s="54" t="s">
        <v>21</v>
      </c>
      <c r="O518" s="54" t="s">
        <v>21</v>
      </c>
      <c r="P518" s="54" t="s">
        <v>21</v>
      </c>
      <c r="Q518" s="54" t="s">
        <v>20</v>
      </c>
      <c r="R518" s="150" t="s">
        <v>319</v>
      </c>
      <c r="S518" s="55" t="s">
        <v>0</v>
      </c>
      <c r="T518" s="1">
        <v>0</v>
      </c>
      <c r="U518" s="1">
        <f>2000-100-1900</f>
        <v>0</v>
      </c>
      <c r="V518" s="1">
        <f>2000-2000</f>
        <v>0</v>
      </c>
      <c r="W518" s="1">
        <v>0</v>
      </c>
      <c r="X518" s="1">
        <f>2000-100-1900</f>
        <v>0</v>
      </c>
      <c r="Y518" s="1">
        <f>2000-2000</f>
        <v>0</v>
      </c>
      <c r="Z518" s="1">
        <v>0</v>
      </c>
      <c r="AA518" s="59">
        <f t="shared" si="105"/>
        <v>0</v>
      </c>
      <c r="AB518" s="58">
        <v>2024</v>
      </c>
      <c r="AC518" s="33"/>
      <c r="AD518" s="50"/>
    </row>
    <row r="519" spans="1:30" s="51" customFormat="1" ht="47.25" hidden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265</v>
      </c>
      <c r="S519" s="52" t="s">
        <v>38</v>
      </c>
      <c r="T519" s="44">
        <v>0</v>
      </c>
      <c r="U519" s="44">
        <v>0</v>
      </c>
      <c r="V519" s="44">
        <v>0</v>
      </c>
      <c r="W519" s="44">
        <v>0</v>
      </c>
      <c r="X519" s="44">
        <v>0</v>
      </c>
      <c r="Y519" s="44">
        <v>0</v>
      </c>
      <c r="Z519" s="44">
        <v>0</v>
      </c>
      <c r="AA519" s="49">
        <f t="shared" si="105"/>
        <v>0</v>
      </c>
      <c r="AB519" s="153">
        <v>2024</v>
      </c>
      <c r="AC519" s="33"/>
      <c r="AD519" s="50"/>
    </row>
    <row r="520" spans="1:30" s="51" customFormat="1" ht="47.25" hidden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266</v>
      </c>
      <c r="S520" s="52" t="s">
        <v>52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53">
        <f t="shared" si="105"/>
        <v>0</v>
      </c>
      <c r="AB520" s="153">
        <v>2024</v>
      </c>
      <c r="AC520" s="121"/>
      <c r="AD520" s="113"/>
    </row>
    <row r="521" spans="1:30" s="51" customFormat="1" ht="47.25" hidden="1" x14ac:dyDescent="0.25">
      <c r="A521" s="54" t="s">
        <v>18</v>
      </c>
      <c r="B521" s="54" t="s">
        <v>18</v>
      </c>
      <c r="C521" s="54" t="s">
        <v>21</v>
      </c>
      <c r="D521" s="54" t="s">
        <v>18</v>
      </c>
      <c r="E521" s="54" t="s">
        <v>21</v>
      </c>
      <c r="F521" s="54" t="s">
        <v>18</v>
      </c>
      <c r="G521" s="54" t="s">
        <v>22</v>
      </c>
      <c r="H521" s="54" t="s">
        <v>19</v>
      </c>
      <c r="I521" s="54" t="s">
        <v>24</v>
      </c>
      <c r="J521" s="54" t="s">
        <v>18</v>
      </c>
      <c r="K521" s="54" t="s">
        <v>257</v>
      </c>
      <c r="L521" s="54" t="s">
        <v>20</v>
      </c>
      <c r="M521" s="54" t="s">
        <v>21</v>
      </c>
      <c r="N521" s="54" t="s">
        <v>21</v>
      </c>
      <c r="O521" s="54" t="s">
        <v>21</v>
      </c>
      <c r="P521" s="54" t="s">
        <v>21</v>
      </c>
      <c r="Q521" s="54" t="s">
        <v>20</v>
      </c>
      <c r="R521" s="150" t="s">
        <v>320</v>
      </c>
      <c r="S521" s="55" t="s">
        <v>0</v>
      </c>
      <c r="T521" s="1">
        <v>0</v>
      </c>
      <c r="U521" s="1">
        <f>2860.5-100-2760.5</f>
        <v>0</v>
      </c>
      <c r="V521" s="1">
        <f>2860.6-2860.6</f>
        <v>0</v>
      </c>
      <c r="W521" s="1">
        <v>0</v>
      </c>
      <c r="X521" s="1">
        <f>2860.5-100-2760.5</f>
        <v>0</v>
      </c>
      <c r="Y521" s="1">
        <f>2860.6-2860.6</f>
        <v>0</v>
      </c>
      <c r="Z521" s="1">
        <v>0</v>
      </c>
      <c r="AA521" s="59">
        <f t="shared" si="105"/>
        <v>0</v>
      </c>
      <c r="AB521" s="58">
        <v>2024</v>
      </c>
      <c r="AC521" s="33"/>
      <c r="AD521" s="50"/>
    </row>
    <row r="522" spans="1:30" s="51" customFormat="1" ht="47.25" hidden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0" t="s">
        <v>267</v>
      </c>
      <c r="S522" s="52" t="s">
        <v>38</v>
      </c>
      <c r="T522" s="44">
        <v>0</v>
      </c>
      <c r="U522" s="44">
        <v>0</v>
      </c>
      <c r="V522" s="44">
        <v>0</v>
      </c>
      <c r="W522" s="44">
        <v>0</v>
      </c>
      <c r="X522" s="44">
        <v>0</v>
      </c>
      <c r="Y522" s="44">
        <v>0</v>
      </c>
      <c r="Z522" s="44">
        <v>0</v>
      </c>
      <c r="AA522" s="49">
        <f t="shared" si="105"/>
        <v>0</v>
      </c>
      <c r="AB522" s="153">
        <v>2024</v>
      </c>
      <c r="AC522" s="33"/>
      <c r="AD522" s="50"/>
    </row>
    <row r="523" spans="1:30" s="51" customFormat="1" ht="47.25" hidden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0" t="s">
        <v>268</v>
      </c>
      <c r="S523" s="52" t="s">
        <v>52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53">
        <f t="shared" si="105"/>
        <v>0</v>
      </c>
      <c r="AB523" s="153">
        <v>2024</v>
      </c>
      <c r="AC523" s="33"/>
      <c r="AD523" s="50"/>
    </row>
    <row r="524" spans="1:30" s="51" customFormat="1" ht="47.25" hidden="1" x14ac:dyDescent="0.25">
      <c r="A524" s="54" t="s">
        <v>18</v>
      </c>
      <c r="B524" s="54" t="s">
        <v>18</v>
      </c>
      <c r="C524" s="54" t="s">
        <v>25</v>
      </c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257</v>
      </c>
      <c r="L524" s="54" t="s">
        <v>20</v>
      </c>
      <c r="M524" s="54" t="s">
        <v>21</v>
      </c>
      <c r="N524" s="54" t="s">
        <v>21</v>
      </c>
      <c r="O524" s="54" t="s">
        <v>21</v>
      </c>
      <c r="P524" s="54" t="s">
        <v>21</v>
      </c>
      <c r="Q524" s="54" t="s">
        <v>20</v>
      </c>
      <c r="R524" s="150" t="s">
        <v>319</v>
      </c>
      <c r="S524" s="55" t="s">
        <v>0</v>
      </c>
      <c r="T524" s="1">
        <v>0</v>
      </c>
      <c r="U524" s="1">
        <f>2801.1-100-2701.1</f>
        <v>0</v>
      </c>
      <c r="V524" s="1">
        <f>2801.1-2801.1</f>
        <v>0</v>
      </c>
      <c r="W524" s="1">
        <v>0</v>
      </c>
      <c r="X524" s="1">
        <f>2801.1-100-2701.1</f>
        <v>0</v>
      </c>
      <c r="Y524" s="1">
        <f>2801.1-2801.1</f>
        <v>0</v>
      </c>
      <c r="Z524" s="1">
        <v>0</v>
      </c>
      <c r="AA524" s="59">
        <f t="shared" si="105"/>
        <v>0</v>
      </c>
      <c r="AB524" s="58">
        <v>2024</v>
      </c>
      <c r="AC524" s="33"/>
      <c r="AD524" s="50"/>
    </row>
    <row r="525" spans="1:30" s="51" customFormat="1" ht="47.25" hidden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40" t="s">
        <v>269</v>
      </c>
      <c r="S525" s="52" t="s">
        <v>38</v>
      </c>
      <c r="T525" s="44">
        <v>0</v>
      </c>
      <c r="U525" s="44">
        <v>0</v>
      </c>
      <c r="V525" s="44">
        <v>0</v>
      </c>
      <c r="W525" s="44">
        <v>0</v>
      </c>
      <c r="X525" s="44">
        <v>0</v>
      </c>
      <c r="Y525" s="44">
        <v>0</v>
      </c>
      <c r="Z525" s="44">
        <v>0</v>
      </c>
      <c r="AA525" s="49">
        <f t="shared" si="105"/>
        <v>0</v>
      </c>
      <c r="AB525" s="153">
        <v>2024</v>
      </c>
      <c r="AC525" s="33"/>
      <c r="AD525" s="50"/>
    </row>
    <row r="526" spans="1:30" s="51" customFormat="1" ht="47.25" hidden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270</v>
      </c>
      <c r="S526" s="52" t="s">
        <v>52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53">
        <f t="shared" si="105"/>
        <v>0</v>
      </c>
      <c r="AB526" s="153">
        <v>2024</v>
      </c>
      <c r="AC526" s="33"/>
      <c r="AD526" s="50"/>
    </row>
    <row r="527" spans="1:30" s="51" customFormat="1" hidden="1" x14ac:dyDescent="0.25">
      <c r="A527" s="54" t="s">
        <v>18</v>
      </c>
      <c r="B527" s="54" t="s">
        <v>24</v>
      </c>
      <c r="C527" s="54" t="s">
        <v>22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19</v>
      </c>
      <c r="I527" s="54" t="s">
        <v>24</v>
      </c>
      <c r="J527" s="54" t="s">
        <v>18</v>
      </c>
      <c r="K527" s="54" t="s">
        <v>257</v>
      </c>
      <c r="L527" s="54" t="s">
        <v>20</v>
      </c>
      <c r="M527" s="54" t="s">
        <v>18</v>
      </c>
      <c r="N527" s="54" t="s">
        <v>18</v>
      </c>
      <c r="O527" s="54" t="s">
        <v>18</v>
      </c>
      <c r="P527" s="54" t="s">
        <v>18</v>
      </c>
      <c r="Q527" s="54" t="s">
        <v>18</v>
      </c>
      <c r="R527" s="169" t="s">
        <v>319</v>
      </c>
      <c r="S527" s="159" t="s">
        <v>0</v>
      </c>
      <c r="T527" s="1">
        <v>0</v>
      </c>
      <c r="U527" s="1">
        <f>2801.1-100-2701.1</f>
        <v>0</v>
      </c>
      <c r="V527" s="1">
        <f>2801.1-2801.1</f>
        <v>0</v>
      </c>
      <c r="W527" s="1"/>
      <c r="X527" s="1"/>
      <c r="Y527" s="1"/>
      <c r="Z527" s="1"/>
      <c r="AA527" s="59"/>
      <c r="AB527" s="58"/>
      <c r="AC527" s="33"/>
      <c r="AD527" s="50"/>
    </row>
    <row r="528" spans="1:30" s="51" customFormat="1" hidden="1" x14ac:dyDescent="0.25">
      <c r="A528" s="54" t="s">
        <v>18</v>
      </c>
      <c r="B528" s="54" t="s">
        <v>24</v>
      </c>
      <c r="C528" s="54" t="s">
        <v>22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257</v>
      </c>
      <c r="L528" s="54" t="s">
        <v>20</v>
      </c>
      <c r="M528" s="54" t="s">
        <v>21</v>
      </c>
      <c r="N528" s="54" t="s">
        <v>21</v>
      </c>
      <c r="O528" s="54" t="s">
        <v>21</v>
      </c>
      <c r="P528" s="54" t="s">
        <v>21</v>
      </c>
      <c r="Q528" s="54" t="s">
        <v>20</v>
      </c>
      <c r="R528" s="170"/>
      <c r="S528" s="160"/>
      <c r="T528" s="1">
        <v>0</v>
      </c>
      <c r="U528" s="1">
        <f t="shared" ref="U528:U529" si="110">2801.1-100-2701.1</f>
        <v>0</v>
      </c>
      <c r="V528" s="1">
        <f t="shared" ref="V528:V529" si="111">2801.1-2801.1</f>
        <v>0</v>
      </c>
      <c r="W528" s="1"/>
      <c r="X528" s="1"/>
      <c r="Y528" s="1"/>
      <c r="Z528" s="1"/>
      <c r="AA528" s="59"/>
      <c r="AB528" s="58"/>
      <c r="AC528" s="33"/>
      <c r="AD528" s="50"/>
    </row>
    <row r="529" spans="1:31" s="51" customFormat="1" hidden="1" x14ac:dyDescent="0.25">
      <c r="A529" s="54" t="s">
        <v>18</v>
      </c>
      <c r="B529" s="54" t="s">
        <v>24</v>
      </c>
      <c r="C529" s="54" t="s">
        <v>22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19</v>
      </c>
      <c r="I529" s="54" t="s">
        <v>24</v>
      </c>
      <c r="J529" s="54" t="s">
        <v>18</v>
      </c>
      <c r="K529" s="54" t="s">
        <v>257</v>
      </c>
      <c r="L529" s="54" t="s">
        <v>20</v>
      </c>
      <c r="M529" s="54" t="s">
        <v>18</v>
      </c>
      <c r="N529" s="54" t="s">
        <v>18</v>
      </c>
      <c r="O529" s="54" t="s">
        <v>21</v>
      </c>
      <c r="P529" s="54" t="s">
        <v>21</v>
      </c>
      <c r="Q529" s="54" t="s">
        <v>20</v>
      </c>
      <c r="R529" s="171"/>
      <c r="S529" s="161"/>
      <c r="T529" s="1">
        <v>0</v>
      </c>
      <c r="U529" s="1">
        <f t="shared" si="110"/>
        <v>0</v>
      </c>
      <c r="V529" s="1">
        <f t="shared" si="111"/>
        <v>0</v>
      </c>
      <c r="W529" s="1"/>
      <c r="X529" s="1"/>
      <c r="Y529" s="1"/>
      <c r="Z529" s="1"/>
      <c r="AA529" s="59"/>
      <c r="AB529" s="58"/>
      <c r="AC529" s="33"/>
      <c r="AD529" s="50"/>
    </row>
    <row r="530" spans="1:31" s="51" customFormat="1" ht="47.25" hidden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326</v>
      </c>
      <c r="S530" s="52" t="s">
        <v>38</v>
      </c>
      <c r="T530" s="44"/>
      <c r="U530" s="44"/>
      <c r="V530" s="44"/>
      <c r="W530" s="44"/>
      <c r="X530" s="44"/>
      <c r="Y530" s="44"/>
      <c r="Z530" s="44"/>
      <c r="AA530" s="49"/>
      <c r="AB530" s="153"/>
      <c r="AC530" s="33"/>
      <c r="AD530" s="50"/>
    </row>
    <row r="531" spans="1:31" s="51" customFormat="1" ht="47.25" hidden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327</v>
      </c>
      <c r="S531" s="52" t="s">
        <v>52</v>
      </c>
      <c r="T531" s="3"/>
      <c r="U531" s="3"/>
      <c r="V531" s="3"/>
      <c r="W531" s="3"/>
      <c r="X531" s="3"/>
      <c r="Y531" s="3"/>
      <c r="Z531" s="3"/>
      <c r="AA531" s="53"/>
      <c r="AB531" s="153"/>
      <c r="AC531" s="33"/>
      <c r="AD531" s="50"/>
    </row>
    <row r="532" spans="1:31" s="51" customFormat="1" ht="31.5" x14ac:dyDescent="0.25">
      <c r="A532" s="54" t="s">
        <v>18</v>
      </c>
      <c r="B532" s="54" t="s">
        <v>18</v>
      </c>
      <c r="C532" s="54" t="s">
        <v>43</v>
      </c>
      <c r="D532" s="54" t="s">
        <v>18</v>
      </c>
      <c r="E532" s="54" t="s">
        <v>21</v>
      </c>
      <c r="F532" s="54" t="s">
        <v>18</v>
      </c>
      <c r="G532" s="54" t="s">
        <v>22</v>
      </c>
      <c r="H532" s="54" t="s">
        <v>19</v>
      </c>
      <c r="I532" s="54" t="s">
        <v>24</v>
      </c>
      <c r="J532" s="54" t="s">
        <v>18</v>
      </c>
      <c r="K532" s="54" t="s">
        <v>19</v>
      </c>
      <c r="L532" s="54" t="s">
        <v>349</v>
      </c>
      <c r="M532" s="54" t="s">
        <v>43</v>
      </c>
      <c r="N532" s="54" t="s">
        <v>43</v>
      </c>
      <c r="O532" s="54" t="s">
        <v>43</v>
      </c>
      <c r="P532" s="54" t="s">
        <v>18</v>
      </c>
      <c r="Q532" s="54" t="s">
        <v>18</v>
      </c>
      <c r="R532" s="77" t="s">
        <v>330</v>
      </c>
      <c r="S532" s="55" t="s">
        <v>0</v>
      </c>
      <c r="T532" s="59">
        <f>10000-9745-255</f>
        <v>0</v>
      </c>
      <c r="U532" s="59">
        <f>226.8-200-26.8</f>
        <v>0</v>
      </c>
      <c r="V532" s="59">
        <f>8228.3-8228.3</f>
        <v>0</v>
      </c>
      <c r="W532" s="59">
        <f>5000-3206.5-1793.5</f>
        <v>0</v>
      </c>
      <c r="X532" s="59">
        <f>5000+11000</f>
        <v>16000</v>
      </c>
      <c r="Y532" s="59">
        <v>5000</v>
      </c>
      <c r="Z532" s="59">
        <v>5000</v>
      </c>
      <c r="AA532" s="59">
        <f t="shared" ref="AA532:AA534" si="112">SUM(T532:Z532)</f>
        <v>26000</v>
      </c>
      <c r="AB532" s="58">
        <v>2024</v>
      </c>
      <c r="AC532" s="33"/>
      <c r="AD532" s="50"/>
    </row>
    <row r="533" spans="1:31" s="51" customFormat="1" ht="31.5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78" t="s">
        <v>328</v>
      </c>
      <c r="S533" s="62" t="s">
        <v>52</v>
      </c>
      <c r="T533" s="3">
        <v>0</v>
      </c>
      <c r="U533" s="3">
        <v>0</v>
      </c>
      <c r="V533" s="3">
        <v>0</v>
      </c>
      <c r="W533" s="3">
        <v>0</v>
      </c>
      <c r="X533" s="3">
        <v>5</v>
      </c>
      <c r="Y533" s="3">
        <v>5</v>
      </c>
      <c r="Z533" s="3">
        <v>5</v>
      </c>
      <c r="AA533" s="6">
        <f t="shared" si="112"/>
        <v>15</v>
      </c>
      <c r="AB533" s="41">
        <v>2024</v>
      </c>
      <c r="AC533" s="33"/>
      <c r="AD533" s="50"/>
    </row>
    <row r="534" spans="1:31" s="51" customFormat="1" ht="31.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78" t="s">
        <v>329</v>
      </c>
      <c r="S534" s="62" t="s">
        <v>38</v>
      </c>
      <c r="T534" s="44">
        <v>0</v>
      </c>
      <c r="U534" s="44">
        <v>0</v>
      </c>
      <c r="V534" s="44">
        <v>0</v>
      </c>
      <c r="W534" s="44">
        <v>0</v>
      </c>
      <c r="X534" s="44">
        <v>5</v>
      </c>
      <c r="Y534" s="44">
        <v>5</v>
      </c>
      <c r="Z534" s="44">
        <v>5</v>
      </c>
      <c r="AA534" s="49">
        <f t="shared" si="112"/>
        <v>15</v>
      </c>
      <c r="AB534" s="41">
        <v>2024</v>
      </c>
      <c r="AC534" s="33"/>
      <c r="AD534" s="50"/>
    </row>
    <row r="535" spans="1:31" ht="78.75" x14ac:dyDescent="0.2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152" t="s">
        <v>356</v>
      </c>
      <c r="S535" s="55" t="s">
        <v>41</v>
      </c>
      <c r="T535" s="56">
        <v>0</v>
      </c>
      <c r="U535" s="56">
        <v>0</v>
      </c>
      <c r="V535" s="56">
        <v>0</v>
      </c>
      <c r="W535" s="56">
        <v>1</v>
      </c>
      <c r="X535" s="56">
        <v>1</v>
      </c>
      <c r="Y535" s="56">
        <v>1</v>
      </c>
      <c r="Z535" s="56">
        <v>1</v>
      </c>
      <c r="AA535" s="57">
        <v>1</v>
      </c>
      <c r="AB535" s="58">
        <v>2024</v>
      </c>
      <c r="AD535" s="104"/>
      <c r="AE535" s="104"/>
    </row>
    <row r="536" spans="1:31" ht="78.75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40" t="s">
        <v>357</v>
      </c>
      <c r="S536" s="62" t="s">
        <v>38</v>
      </c>
      <c r="T536" s="44">
        <v>0</v>
      </c>
      <c r="U536" s="44">
        <v>0</v>
      </c>
      <c r="V536" s="44">
        <v>0</v>
      </c>
      <c r="W536" s="44">
        <v>4</v>
      </c>
      <c r="X536" s="44">
        <v>4</v>
      </c>
      <c r="Y536" s="44">
        <v>4</v>
      </c>
      <c r="Z536" s="44">
        <v>4</v>
      </c>
      <c r="AA536" s="49">
        <f>SUM(T536:Z536)</f>
        <v>16</v>
      </c>
      <c r="AB536" s="41">
        <v>2024</v>
      </c>
      <c r="AD536" s="104"/>
      <c r="AE536" s="104"/>
    </row>
    <row r="537" spans="1:31" ht="63" x14ac:dyDescent="0.25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152" t="s">
        <v>358</v>
      </c>
      <c r="S537" s="55" t="s">
        <v>41</v>
      </c>
      <c r="T537" s="56">
        <v>0</v>
      </c>
      <c r="U537" s="56">
        <v>0</v>
      </c>
      <c r="V537" s="56">
        <v>0</v>
      </c>
      <c r="W537" s="56">
        <v>1</v>
      </c>
      <c r="X537" s="56">
        <v>1</v>
      </c>
      <c r="Y537" s="56">
        <v>1</v>
      </c>
      <c r="Z537" s="56">
        <v>1</v>
      </c>
      <c r="AA537" s="57">
        <v>1</v>
      </c>
      <c r="AB537" s="58">
        <v>2024</v>
      </c>
      <c r="AD537" s="104"/>
      <c r="AE537" s="104"/>
    </row>
    <row r="538" spans="1:31" ht="78.75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0" t="s">
        <v>361</v>
      </c>
      <c r="S538" s="62" t="s">
        <v>38</v>
      </c>
      <c r="T538" s="44">
        <v>0</v>
      </c>
      <c r="U538" s="44">
        <v>0</v>
      </c>
      <c r="V538" s="44">
        <v>0</v>
      </c>
      <c r="W538" s="44">
        <v>12</v>
      </c>
      <c r="X538" s="44">
        <v>12</v>
      </c>
      <c r="Y538" s="44">
        <v>12</v>
      </c>
      <c r="Z538" s="44">
        <v>12</v>
      </c>
      <c r="AA538" s="49">
        <f>SUM(T538:Z538)</f>
        <v>48</v>
      </c>
      <c r="AB538" s="41">
        <v>2024</v>
      </c>
      <c r="AD538" s="104"/>
      <c r="AE538" s="104"/>
    </row>
    <row r="539" spans="1:31" ht="47.25" x14ac:dyDescent="0.25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152" t="s">
        <v>363</v>
      </c>
      <c r="S539" s="55" t="s">
        <v>41</v>
      </c>
      <c r="T539" s="56">
        <v>0</v>
      </c>
      <c r="U539" s="56">
        <v>0</v>
      </c>
      <c r="V539" s="56">
        <v>0</v>
      </c>
      <c r="W539" s="56">
        <v>1</v>
      </c>
      <c r="X539" s="56">
        <v>0</v>
      </c>
      <c r="Y539" s="56">
        <v>0</v>
      </c>
      <c r="Z539" s="56">
        <v>0</v>
      </c>
      <c r="AA539" s="57">
        <v>1</v>
      </c>
      <c r="AB539" s="58">
        <v>2021</v>
      </c>
      <c r="AD539" s="104"/>
      <c r="AE539" s="104"/>
    </row>
    <row r="540" spans="1:31" ht="47.25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0" t="s">
        <v>362</v>
      </c>
      <c r="S540" s="62" t="s">
        <v>52</v>
      </c>
      <c r="T540" s="44">
        <v>0</v>
      </c>
      <c r="U540" s="44">
        <v>0</v>
      </c>
      <c r="V540" s="44">
        <v>0</v>
      </c>
      <c r="W540" s="3">
        <v>20.5</v>
      </c>
      <c r="X540" s="44">
        <v>0</v>
      </c>
      <c r="Y540" s="44">
        <v>0</v>
      </c>
      <c r="Z540" s="44">
        <v>0</v>
      </c>
      <c r="AA540" s="49">
        <f>W540</f>
        <v>20.5</v>
      </c>
      <c r="AB540" s="41">
        <v>2021</v>
      </c>
      <c r="AD540" s="104"/>
      <c r="AE540" s="104"/>
    </row>
    <row r="541" spans="1:31" ht="47.45" customHeight="1" x14ac:dyDescent="0.25">
      <c r="A541" s="46"/>
      <c r="B541" s="46"/>
      <c r="C541" s="46"/>
      <c r="D541" s="46"/>
      <c r="E541" s="46"/>
      <c r="F541" s="46"/>
      <c r="G541" s="46"/>
      <c r="H541" s="46" t="s">
        <v>19</v>
      </c>
      <c r="I541" s="46" t="s">
        <v>24</v>
      </c>
      <c r="J541" s="46" t="s">
        <v>18</v>
      </c>
      <c r="K541" s="46" t="s">
        <v>18</v>
      </c>
      <c r="L541" s="46" t="s">
        <v>22</v>
      </c>
      <c r="M541" s="46" t="s">
        <v>18</v>
      </c>
      <c r="N541" s="46" t="s">
        <v>18</v>
      </c>
      <c r="O541" s="46" t="s">
        <v>18</v>
      </c>
      <c r="P541" s="46" t="s">
        <v>18</v>
      </c>
      <c r="Q541" s="46" t="s">
        <v>18</v>
      </c>
      <c r="R541" s="100" t="s">
        <v>55</v>
      </c>
      <c r="S541" s="141" t="s">
        <v>0</v>
      </c>
      <c r="T541" s="140">
        <f>T545++T562+T565+T586</f>
        <v>7230.2999999999993</v>
      </c>
      <c r="U541" s="140">
        <f>U545++U562+U565+U586+U598+U596+U600+U560</f>
        <v>12898</v>
      </c>
      <c r="V541" s="140">
        <f>V545++V562+V565+V586</f>
        <v>3228.7</v>
      </c>
      <c r="W541" s="140">
        <f>W545++W562+W565+W586</f>
        <v>3490.5999999999995</v>
      </c>
      <c r="X541" s="140">
        <f>X545++X562+X565+X586</f>
        <v>3844.2999999999997</v>
      </c>
      <c r="Y541" s="140">
        <f>Y545++Y562+Y565+Y586</f>
        <v>4484</v>
      </c>
      <c r="Z541" s="140">
        <f>Z545++Z562+Z565+Z586</f>
        <v>4484</v>
      </c>
      <c r="AA541" s="140">
        <f t="shared" si="105"/>
        <v>39659.899999999994</v>
      </c>
      <c r="AB541" s="141">
        <v>2024</v>
      </c>
      <c r="AC541" s="120"/>
    </row>
    <row r="542" spans="1:31" ht="31.5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48" t="s">
        <v>134</v>
      </c>
      <c r="S542" s="153" t="s">
        <v>31</v>
      </c>
      <c r="T542" s="4">
        <f t="shared" ref="T542:Y542" si="113">T546</f>
        <v>10473.4</v>
      </c>
      <c r="U542" s="4">
        <f t="shared" si="113"/>
        <v>4682.5</v>
      </c>
      <c r="V542" s="4">
        <f t="shared" si="113"/>
        <v>4156.2</v>
      </c>
      <c r="W542" s="4">
        <f t="shared" si="113"/>
        <v>5575.6</v>
      </c>
      <c r="X542" s="4">
        <f t="shared" si="113"/>
        <v>6840.3</v>
      </c>
      <c r="Y542" s="4">
        <f t="shared" si="113"/>
        <v>6840.3</v>
      </c>
      <c r="Z542" s="4">
        <f t="shared" ref="Z542" si="114">Z546</f>
        <v>6840.3</v>
      </c>
      <c r="AA542" s="5">
        <f t="shared" si="105"/>
        <v>45408.6</v>
      </c>
      <c r="AB542" s="153">
        <v>2024</v>
      </c>
      <c r="AC542" s="33"/>
    </row>
    <row r="543" spans="1:31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8" t="s">
        <v>135</v>
      </c>
      <c r="S543" s="153" t="s">
        <v>50</v>
      </c>
      <c r="T543" s="44">
        <f t="shared" ref="T543:Y543" si="115">T566</f>
        <v>450</v>
      </c>
      <c r="U543" s="44">
        <f t="shared" si="115"/>
        <v>450</v>
      </c>
      <c r="V543" s="44">
        <f t="shared" si="115"/>
        <v>0</v>
      </c>
      <c r="W543" s="44">
        <f t="shared" si="115"/>
        <v>0</v>
      </c>
      <c r="X543" s="44">
        <f t="shared" si="115"/>
        <v>0</v>
      </c>
      <c r="Y543" s="44">
        <f t="shared" si="115"/>
        <v>0</v>
      </c>
      <c r="Z543" s="44">
        <f t="shared" ref="Z543" si="116">Z566</f>
        <v>0</v>
      </c>
      <c r="AA543" s="45">
        <f t="shared" ref="AA543:AA544" si="117">SUM(T543:Z543)</f>
        <v>900</v>
      </c>
      <c r="AB543" s="153">
        <v>2019</v>
      </c>
      <c r="AC543" s="33"/>
    </row>
    <row r="544" spans="1:31" ht="46.1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8" t="s">
        <v>136</v>
      </c>
      <c r="S544" s="41" t="s">
        <v>38</v>
      </c>
      <c r="T544" s="44">
        <f t="shared" ref="T544:V544" si="118">T587</f>
        <v>27</v>
      </c>
      <c r="U544" s="44">
        <f t="shared" si="118"/>
        <v>4</v>
      </c>
      <c r="V544" s="44">
        <f t="shared" si="118"/>
        <v>16</v>
      </c>
      <c r="W544" s="44">
        <f>W547</f>
        <v>2</v>
      </c>
      <c r="X544" s="44">
        <f t="shared" ref="X544:Z544" si="119">X547</f>
        <v>14</v>
      </c>
      <c r="Y544" s="44">
        <f t="shared" si="119"/>
        <v>14</v>
      </c>
      <c r="Z544" s="44">
        <f t="shared" si="119"/>
        <v>14</v>
      </c>
      <c r="AA544" s="45">
        <f t="shared" si="117"/>
        <v>91</v>
      </c>
      <c r="AB544" s="41">
        <v>2024</v>
      </c>
      <c r="AC544" s="33"/>
    </row>
    <row r="545" spans="1:31" ht="33.6" customHeight="1" x14ac:dyDescent="0.25">
      <c r="A545" s="54"/>
      <c r="B545" s="54"/>
      <c r="C545" s="54"/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43</v>
      </c>
      <c r="N545" s="54" t="s">
        <v>43</v>
      </c>
      <c r="O545" s="54" t="s">
        <v>43</v>
      </c>
      <c r="P545" s="54" t="s">
        <v>43</v>
      </c>
      <c r="Q545" s="54" t="s">
        <v>43</v>
      </c>
      <c r="R545" s="77" t="s">
        <v>137</v>
      </c>
      <c r="S545" s="58" t="s">
        <v>0</v>
      </c>
      <c r="T545" s="59">
        <f>T548+T554+T551+T557</f>
        <v>5760.9</v>
      </c>
      <c r="U545" s="59">
        <f t="shared" ref="U545:Y545" si="120">U548+U554+U551+U557</f>
        <v>5337.7</v>
      </c>
      <c r="V545" s="59">
        <f>V548+V554+V551+V557</f>
        <v>3171</v>
      </c>
      <c r="W545" s="59">
        <f t="shared" si="120"/>
        <v>3490.5999999999995</v>
      </c>
      <c r="X545" s="59">
        <f t="shared" si="120"/>
        <v>3844.2999999999997</v>
      </c>
      <c r="Y545" s="59">
        <f t="shared" si="120"/>
        <v>4484</v>
      </c>
      <c r="Z545" s="59">
        <f t="shared" ref="Z545" si="121">Z548+Z554+Z551+Z557</f>
        <v>4484</v>
      </c>
      <c r="AA545" s="59">
        <f t="shared" ref="AA545:AA563" si="122">SUM(T545:Z545)</f>
        <v>30572.499999999996</v>
      </c>
      <c r="AB545" s="58">
        <v>2024</v>
      </c>
      <c r="AC545" s="120"/>
    </row>
    <row r="546" spans="1:31" ht="31.5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5" t="s">
        <v>134</v>
      </c>
      <c r="S546" s="153" t="s">
        <v>31</v>
      </c>
      <c r="T546" s="3">
        <f>T549+T552+T555+T558</f>
        <v>10473.4</v>
      </c>
      <c r="U546" s="3">
        <f t="shared" ref="U546:Y546" si="123">U549+U552+U555+U558</f>
        <v>4682.5</v>
      </c>
      <c r="V546" s="3">
        <f t="shared" si="123"/>
        <v>4156.2</v>
      </c>
      <c r="W546" s="3">
        <f t="shared" si="123"/>
        <v>5575.6</v>
      </c>
      <c r="X546" s="3">
        <f>X549+X552+X555+X558</f>
        <v>6840.3</v>
      </c>
      <c r="Y546" s="3">
        <f t="shared" si="123"/>
        <v>6840.3</v>
      </c>
      <c r="Z546" s="3">
        <f t="shared" ref="Z546:Z547" si="124">Z549+Z552+Z555+Z558</f>
        <v>6840.3</v>
      </c>
      <c r="AA546" s="5">
        <f t="shared" si="122"/>
        <v>45408.6</v>
      </c>
      <c r="AB546" s="41">
        <v>2024</v>
      </c>
      <c r="AC546" s="123"/>
      <c r="AD546" s="102"/>
    </row>
    <row r="547" spans="1:31" ht="47.2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5" t="s">
        <v>333</v>
      </c>
      <c r="S547" s="153" t="s">
        <v>38</v>
      </c>
      <c r="T547" s="44">
        <f>T550+T553+T556+T559</f>
        <v>0</v>
      </c>
      <c r="U547" s="44">
        <f t="shared" ref="U547:Y547" si="125">U550+U553+U556+U559</f>
        <v>0</v>
      </c>
      <c r="V547" s="44">
        <f t="shared" si="125"/>
        <v>0</v>
      </c>
      <c r="W547" s="44">
        <f t="shared" si="125"/>
        <v>2</v>
      </c>
      <c r="X547" s="44">
        <f t="shared" si="125"/>
        <v>14</v>
      </c>
      <c r="Y547" s="44">
        <f t="shared" si="125"/>
        <v>14</v>
      </c>
      <c r="Z547" s="44">
        <f t="shared" si="124"/>
        <v>14</v>
      </c>
      <c r="AA547" s="45">
        <f t="shared" si="122"/>
        <v>44</v>
      </c>
      <c r="AB547" s="41">
        <v>2024</v>
      </c>
      <c r="AC547" s="123"/>
      <c r="AD547" s="102"/>
    </row>
    <row r="548" spans="1:31" ht="31.5" x14ac:dyDescent="0.25">
      <c r="A548" s="54" t="s">
        <v>18</v>
      </c>
      <c r="B548" s="54" t="s">
        <v>18</v>
      </c>
      <c r="C548" s="54" t="s">
        <v>22</v>
      </c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43</v>
      </c>
      <c r="N548" s="54" t="s">
        <v>43</v>
      </c>
      <c r="O548" s="54" t="s">
        <v>43</v>
      </c>
      <c r="P548" s="54" t="s">
        <v>43</v>
      </c>
      <c r="Q548" s="54" t="s">
        <v>43</v>
      </c>
      <c r="R548" s="77" t="s">
        <v>138</v>
      </c>
      <c r="S548" s="55" t="s">
        <v>0</v>
      </c>
      <c r="T548" s="1">
        <f>3617.1-376.2-40-150</f>
        <v>3050.9</v>
      </c>
      <c r="U548" s="1">
        <f>2917.1-100</f>
        <v>2817.1</v>
      </c>
      <c r="V548" s="1">
        <v>1090.5999999999999</v>
      </c>
      <c r="W548" s="1">
        <f>2417.1-692.3-89.8</f>
        <v>1635</v>
      </c>
      <c r="X548" s="1">
        <f>2417.1-467.5</f>
        <v>1949.6</v>
      </c>
      <c r="Y548" s="1">
        <v>2417.1</v>
      </c>
      <c r="Z548" s="1">
        <v>2417.1</v>
      </c>
      <c r="AA548" s="59">
        <f t="shared" si="122"/>
        <v>15377.400000000001</v>
      </c>
      <c r="AB548" s="58">
        <v>2024</v>
      </c>
      <c r="AC548" s="119"/>
      <c r="AD548" s="102"/>
      <c r="AE548" s="102"/>
    </row>
    <row r="549" spans="1:31" ht="31.5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334</v>
      </c>
      <c r="S549" s="153" t="s">
        <v>31</v>
      </c>
      <c r="T549" s="3">
        <v>4849</v>
      </c>
      <c r="U549" s="3">
        <f>4307-1114</f>
        <v>3193</v>
      </c>
      <c r="V549" s="3">
        <v>1569</v>
      </c>
      <c r="W549" s="3">
        <v>2700</v>
      </c>
      <c r="X549" s="3">
        <v>3455.3</v>
      </c>
      <c r="Y549" s="3">
        <v>3455.3</v>
      </c>
      <c r="Z549" s="3">
        <v>3455.3</v>
      </c>
      <c r="AA549" s="5">
        <f t="shared" si="122"/>
        <v>22676.899999999998</v>
      </c>
      <c r="AB549" s="41">
        <v>2024</v>
      </c>
      <c r="AC549" s="123"/>
      <c r="AD549" s="102"/>
    </row>
    <row r="550" spans="1:31" ht="48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335</v>
      </c>
      <c r="S550" s="153" t="s">
        <v>38</v>
      </c>
      <c r="T550" s="44">
        <v>0</v>
      </c>
      <c r="U550" s="44">
        <v>0</v>
      </c>
      <c r="V550" s="44">
        <v>0</v>
      </c>
      <c r="W550" s="44">
        <v>0</v>
      </c>
      <c r="X550" s="44">
        <v>4</v>
      </c>
      <c r="Y550" s="44">
        <v>4</v>
      </c>
      <c r="Z550" s="44">
        <v>4</v>
      </c>
      <c r="AA550" s="45">
        <f t="shared" si="122"/>
        <v>12</v>
      </c>
      <c r="AB550" s="41">
        <v>2024</v>
      </c>
      <c r="AC550" s="123"/>
      <c r="AD550" s="102"/>
    </row>
    <row r="551" spans="1:31" ht="31.5" x14ac:dyDescent="0.25">
      <c r="A551" s="54" t="s">
        <v>18</v>
      </c>
      <c r="B551" s="54" t="s">
        <v>18</v>
      </c>
      <c r="C551" s="54" t="s">
        <v>24</v>
      </c>
      <c r="D551" s="54" t="s">
        <v>18</v>
      </c>
      <c r="E551" s="54" t="s">
        <v>21</v>
      </c>
      <c r="F551" s="54" t="s">
        <v>18</v>
      </c>
      <c r="G551" s="54" t="s">
        <v>22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43</v>
      </c>
      <c r="N551" s="54" t="s">
        <v>43</v>
      </c>
      <c r="O551" s="54" t="s">
        <v>43</v>
      </c>
      <c r="P551" s="54" t="s">
        <v>43</v>
      </c>
      <c r="Q551" s="54" t="s">
        <v>43</v>
      </c>
      <c r="R551" s="77" t="s">
        <v>139</v>
      </c>
      <c r="S551" s="55" t="s">
        <v>0</v>
      </c>
      <c r="T551" s="1">
        <f>398.5-63.6-24.8</f>
        <v>310.09999999999997</v>
      </c>
      <c r="U551" s="1">
        <f>398.5-18.9</f>
        <v>379.6</v>
      </c>
      <c r="V551" s="1">
        <f>398.5-27.6</f>
        <v>370.9</v>
      </c>
      <c r="W551" s="1">
        <f>399.6-9.9</f>
        <v>389.70000000000005</v>
      </c>
      <c r="X551" s="1">
        <v>399.6</v>
      </c>
      <c r="Y551" s="1">
        <v>399.6</v>
      </c>
      <c r="Z551" s="1">
        <v>399.6</v>
      </c>
      <c r="AA551" s="59">
        <f t="shared" si="122"/>
        <v>2649.1</v>
      </c>
      <c r="AB551" s="58">
        <v>2024</v>
      </c>
      <c r="AC551" s="119"/>
      <c r="AD551" s="102"/>
    </row>
    <row r="552" spans="1:31" ht="33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61" t="s">
        <v>336</v>
      </c>
      <c r="S552" s="153" t="s">
        <v>31</v>
      </c>
      <c r="T552" s="4">
        <v>421.4</v>
      </c>
      <c r="U552" s="4">
        <v>195</v>
      </c>
      <c r="V552" s="4">
        <v>554</v>
      </c>
      <c r="W552" s="3">
        <v>447</v>
      </c>
      <c r="X552" s="3">
        <v>591</v>
      </c>
      <c r="Y552" s="3">
        <v>591</v>
      </c>
      <c r="Z552" s="3">
        <v>591</v>
      </c>
      <c r="AA552" s="6">
        <f t="shared" si="122"/>
        <v>3390.4</v>
      </c>
      <c r="AB552" s="41">
        <v>2024</v>
      </c>
      <c r="AC552" s="123"/>
      <c r="AD552" s="102"/>
    </row>
    <row r="553" spans="1:31" ht="48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61" t="s">
        <v>337</v>
      </c>
      <c r="S553" s="153" t="s">
        <v>38</v>
      </c>
      <c r="T553" s="2">
        <v>0</v>
      </c>
      <c r="U553" s="2">
        <v>0</v>
      </c>
      <c r="V553" s="2">
        <v>0</v>
      </c>
      <c r="W553" s="44">
        <v>0</v>
      </c>
      <c r="X553" s="44">
        <v>2</v>
      </c>
      <c r="Y553" s="44">
        <v>2</v>
      </c>
      <c r="Z553" s="44">
        <v>2</v>
      </c>
      <c r="AA553" s="49">
        <f t="shared" ref="AA553" si="126">SUM(T553:Z553)</f>
        <v>6</v>
      </c>
      <c r="AB553" s="41">
        <v>2024</v>
      </c>
      <c r="AC553" s="123"/>
      <c r="AD553" s="102"/>
    </row>
    <row r="554" spans="1:31" ht="31.5" x14ac:dyDescent="0.25">
      <c r="A554" s="54" t="s">
        <v>18</v>
      </c>
      <c r="B554" s="54" t="s">
        <v>18</v>
      </c>
      <c r="C554" s="54" t="s">
        <v>21</v>
      </c>
      <c r="D554" s="54" t="s">
        <v>18</v>
      </c>
      <c r="E554" s="54" t="s">
        <v>21</v>
      </c>
      <c r="F554" s="54" t="s">
        <v>18</v>
      </c>
      <c r="G554" s="54" t="s">
        <v>22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43</v>
      </c>
      <c r="N554" s="54" t="s">
        <v>43</v>
      </c>
      <c r="O554" s="54" t="s">
        <v>43</v>
      </c>
      <c r="P554" s="54" t="s">
        <v>43</v>
      </c>
      <c r="Q554" s="54" t="s">
        <v>43</v>
      </c>
      <c r="R554" s="69" t="s">
        <v>140</v>
      </c>
      <c r="S554" s="55" t="s">
        <v>0</v>
      </c>
      <c r="T554" s="1">
        <f>1961.8-500-47.8</f>
        <v>1414</v>
      </c>
      <c r="U554" s="1">
        <f>1163-0.4</f>
        <v>1162.5999999999999</v>
      </c>
      <c r="V554" s="1">
        <f>1165.6-57.2</f>
        <v>1108.3999999999999</v>
      </c>
      <c r="W554" s="1">
        <f>1166.9-121.7</f>
        <v>1045.2</v>
      </c>
      <c r="X554" s="1">
        <v>1166.9000000000001</v>
      </c>
      <c r="Y554" s="1">
        <v>1166.9000000000001</v>
      </c>
      <c r="Z554" s="1">
        <v>1166.9000000000001</v>
      </c>
      <c r="AA554" s="59">
        <f t="shared" si="122"/>
        <v>8230.9</v>
      </c>
      <c r="AB554" s="58">
        <v>2024</v>
      </c>
      <c r="AC554" s="119"/>
      <c r="AD554" s="102"/>
    </row>
    <row r="555" spans="1:31" ht="31.5" x14ac:dyDescent="0.2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61" t="s">
        <v>345</v>
      </c>
      <c r="S555" s="153" t="s">
        <v>31</v>
      </c>
      <c r="T555" s="4">
        <v>3300</v>
      </c>
      <c r="U555" s="4">
        <v>1194.5</v>
      </c>
      <c r="V555" s="4">
        <v>1600</v>
      </c>
      <c r="W555" s="3">
        <v>1904.6</v>
      </c>
      <c r="X555" s="3">
        <v>2225</v>
      </c>
      <c r="Y555" s="3">
        <v>2225</v>
      </c>
      <c r="Z555" s="3">
        <v>2225</v>
      </c>
      <c r="AA555" s="5">
        <f t="shared" si="122"/>
        <v>14674.1</v>
      </c>
      <c r="AB555" s="41">
        <v>2024</v>
      </c>
      <c r="AC555" s="123"/>
      <c r="AD555" s="102"/>
    </row>
    <row r="556" spans="1:31" ht="47.2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61" t="s">
        <v>346</v>
      </c>
      <c r="S556" s="153" t="s">
        <v>38</v>
      </c>
      <c r="T556" s="2">
        <v>0</v>
      </c>
      <c r="U556" s="2">
        <v>0</v>
      </c>
      <c r="V556" s="2">
        <v>0</v>
      </c>
      <c r="W556" s="44">
        <v>1</v>
      </c>
      <c r="X556" s="44">
        <v>3</v>
      </c>
      <c r="Y556" s="44">
        <v>3</v>
      </c>
      <c r="Z556" s="44">
        <v>3</v>
      </c>
      <c r="AA556" s="45">
        <f t="shared" ref="AA556" si="127">SUM(T556:Z556)</f>
        <v>10</v>
      </c>
      <c r="AB556" s="41">
        <v>2024</v>
      </c>
      <c r="AC556" s="139"/>
      <c r="AD556" s="102"/>
    </row>
    <row r="557" spans="1:31" ht="31.5" x14ac:dyDescent="0.25">
      <c r="A557" s="54" t="s">
        <v>18</v>
      </c>
      <c r="B557" s="54" t="s">
        <v>18</v>
      </c>
      <c r="C557" s="54" t="s">
        <v>25</v>
      </c>
      <c r="D557" s="54" t="s">
        <v>18</v>
      </c>
      <c r="E557" s="54" t="s">
        <v>21</v>
      </c>
      <c r="F557" s="54" t="s">
        <v>18</v>
      </c>
      <c r="G557" s="54" t="s">
        <v>22</v>
      </c>
      <c r="H557" s="54" t="s">
        <v>19</v>
      </c>
      <c r="I557" s="54" t="s">
        <v>24</v>
      </c>
      <c r="J557" s="54" t="s">
        <v>18</v>
      </c>
      <c r="K557" s="54" t="s">
        <v>18</v>
      </c>
      <c r="L557" s="54" t="s">
        <v>22</v>
      </c>
      <c r="M557" s="54" t="s">
        <v>43</v>
      </c>
      <c r="N557" s="54" t="s">
        <v>43</v>
      </c>
      <c r="O557" s="54" t="s">
        <v>43</v>
      </c>
      <c r="P557" s="54" t="s">
        <v>43</v>
      </c>
      <c r="Q557" s="54" t="s">
        <v>43</v>
      </c>
      <c r="R557" s="69" t="s">
        <v>141</v>
      </c>
      <c r="S557" s="55" t="s">
        <v>0</v>
      </c>
      <c r="T557" s="1">
        <f>1502-455.3-60.8</f>
        <v>985.90000000000009</v>
      </c>
      <c r="U557" s="1">
        <f>1000-21.6</f>
        <v>978.4</v>
      </c>
      <c r="V557" s="1">
        <f>700-98.9</f>
        <v>601.1</v>
      </c>
      <c r="W557" s="1">
        <f>500.4-79.7</f>
        <v>420.7</v>
      </c>
      <c r="X557" s="1">
        <v>328.2</v>
      </c>
      <c r="Y557" s="1">
        <v>500.4</v>
      </c>
      <c r="Z557" s="1">
        <v>500.4</v>
      </c>
      <c r="AA557" s="59">
        <f t="shared" si="122"/>
        <v>4315.0999999999995</v>
      </c>
      <c r="AB557" s="58">
        <v>2024</v>
      </c>
      <c r="AC557" s="120"/>
      <c r="AD557" s="12"/>
    </row>
    <row r="558" spans="1:31" ht="31.5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40" t="s">
        <v>347</v>
      </c>
      <c r="S558" s="153" t="s">
        <v>31</v>
      </c>
      <c r="T558" s="3">
        <v>1903</v>
      </c>
      <c r="U558" s="3">
        <v>100</v>
      </c>
      <c r="V558" s="3">
        <v>433.2</v>
      </c>
      <c r="W558" s="3">
        <v>524</v>
      </c>
      <c r="X558" s="3">
        <v>569</v>
      </c>
      <c r="Y558" s="3">
        <v>569</v>
      </c>
      <c r="Z558" s="3">
        <v>569</v>
      </c>
      <c r="AA558" s="5">
        <f t="shared" si="122"/>
        <v>4667.2</v>
      </c>
      <c r="AB558" s="41">
        <v>2024</v>
      </c>
      <c r="AC558" s="123"/>
      <c r="AD558" s="102"/>
    </row>
    <row r="559" spans="1:31" ht="47.2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61" t="s">
        <v>348</v>
      </c>
      <c r="S559" s="153" t="s">
        <v>38</v>
      </c>
      <c r="T559" s="44">
        <v>0</v>
      </c>
      <c r="U559" s="44">
        <v>0</v>
      </c>
      <c r="V559" s="44">
        <v>0</v>
      </c>
      <c r="W559" s="44">
        <v>1</v>
      </c>
      <c r="X559" s="44">
        <v>5</v>
      </c>
      <c r="Y559" s="44">
        <v>5</v>
      </c>
      <c r="Z559" s="44">
        <v>5</v>
      </c>
      <c r="AA559" s="45">
        <f t="shared" ref="AA559" si="128">SUM(T559:Z559)</f>
        <v>16</v>
      </c>
      <c r="AB559" s="41">
        <v>2024</v>
      </c>
      <c r="AC559" s="139"/>
      <c r="AD559" s="102"/>
    </row>
    <row r="560" spans="1:31" ht="33" customHeight="1" x14ac:dyDescent="0.25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24</v>
      </c>
      <c r="F560" s="54" t="s">
        <v>18</v>
      </c>
      <c r="G560" s="54" t="s">
        <v>21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22</v>
      </c>
      <c r="M560" s="54" t="s">
        <v>43</v>
      </c>
      <c r="N560" s="54" t="s">
        <v>43</v>
      </c>
      <c r="O560" s="54" t="s">
        <v>43</v>
      </c>
      <c r="P560" s="54" t="s">
        <v>43</v>
      </c>
      <c r="Q560" s="54" t="s">
        <v>43</v>
      </c>
      <c r="R560" s="69" t="s">
        <v>367</v>
      </c>
      <c r="S560" s="58" t="s">
        <v>0</v>
      </c>
      <c r="T560" s="59">
        <v>0</v>
      </c>
      <c r="U560" s="59">
        <v>6000</v>
      </c>
      <c r="V560" s="59">
        <v>0</v>
      </c>
      <c r="W560" s="59">
        <v>0</v>
      </c>
      <c r="X560" s="59">
        <v>0</v>
      </c>
      <c r="Y560" s="59">
        <v>0</v>
      </c>
      <c r="Z560" s="59">
        <v>0</v>
      </c>
      <c r="AA560" s="59">
        <f>T560+U560+V560+W560+X560+Y560</f>
        <v>6000</v>
      </c>
      <c r="AB560" s="58">
        <v>2019</v>
      </c>
      <c r="AC560" s="33"/>
    </row>
    <row r="561" spans="1:34" s="72" customFormat="1" ht="47.25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40" t="s">
        <v>311</v>
      </c>
      <c r="S561" s="41" t="s">
        <v>38</v>
      </c>
      <c r="T561" s="41">
        <v>0</v>
      </c>
      <c r="U561" s="41">
        <v>1</v>
      </c>
      <c r="V561" s="41">
        <v>0</v>
      </c>
      <c r="W561" s="41">
        <v>0</v>
      </c>
      <c r="X561" s="41">
        <v>0</v>
      </c>
      <c r="Y561" s="41">
        <v>0</v>
      </c>
      <c r="Z561" s="41">
        <v>0</v>
      </c>
      <c r="AA561" s="49">
        <f>U561</f>
        <v>1</v>
      </c>
      <c r="AB561" s="41">
        <v>2019</v>
      </c>
      <c r="AC561" s="111"/>
    </row>
    <row r="562" spans="1:34" s="145" customFormat="1" ht="46.9" hidden="1" customHeight="1" x14ac:dyDescent="0.25">
      <c r="A562" s="21" t="s">
        <v>18</v>
      </c>
      <c r="B562" s="21" t="s">
        <v>24</v>
      </c>
      <c r="C562" s="21" t="s">
        <v>22</v>
      </c>
      <c r="D562" s="21" t="s">
        <v>18</v>
      </c>
      <c r="E562" s="21" t="s">
        <v>21</v>
      </c>
      <c r="F562" s="21" t="s">
        <v>18</v>
      </c>
      <c r="G562" s="21" t="s">
        <v>22</v>
      </c>
      <c r="H562" s="21" t="s">
        <v>19</v>
      </c>
      <c r="I562" s="21" t="s">
        <v>24</v>
      </c>
      <c r="J562" s="21" t="s">
        <v>18</v>
      </c>
      <c r="K562" s="21" t="s">
        <v>18</v>
      </c>
      <c r="L562" s="21" t="s">
        <v>22</v>
      </c>
      <c r="M562" s="21" t="s">
        <v>43</v>
      </c>
      <c r="N562" s="21" t="s">
        <v>43</v>
      </c>
      <c r="O562" s="21" t="s">
        <v>43</v>
      </c>
      <c r="P562" s="21" t="s">
        <v>43</v>
      </c>
      <c r="Q562" s="21" t="s">
        <v>43</v>
      </c>
      <c r="R562" s="143" t="s">
        <v>350</v>
      </c>
      <c r="S562" s="65" t="s">
        <v>0</v>
      </c>
      <c r="T562" s="144">
        <v>0</v>
      </c>
      <c r="U562" s="144">
        <v>0</v>
      </c>
      <c r="V562" s="144">
        <v>0</v>
      </c>
      <c r="W562" s="144">
        <v>0</v>
      </c>
      <c r="X562" s="144">
        <v>0</v>
      </c>
      <c r="Y562" s="144">
        <v>0</v>
      </c>
      <c r="Z562" s="144">
        <v>0</v>
      </c>
      <c r="AA562" s="24">
        <f t="shared" si="122"/>
        <v>0</v>
      </c>
      <c r="AB562" s="23">
        <v>2024</v>
      </c>
      <c r="AC562" s="33"/>
    </row>
    <row r="563" spans="1:34" s="145" customFormat="1" ht="31.15" hidden="1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146" t="s">
        <v>351</v>
      </c>
      <c r="S563" s="65" t="s">
        <v>31</v>
      </c>
      <c r="T563" s="144">
        <v>0</v>
      </c>
      <c r="U563" s="144">
        <v>0</v>
      </c>
      <c r="V563" s="144">
        <v>0</v>
      </c>
      <c r="W563" s="144">
        <v>0</v>
      </c>
      <c r="X563" s="144">
        <v>0</v>
      </c>
      <c r="Y563" s="144">
        <v>0</v>
      </c>
      <c r="Z563" s="144">
        <v>0</v>
      </c>
      <c r="AA563" s="24">
        <f t="shared" si="122"/>
        <v>0</v>
      </c>
      <c r="AB563" s="65">
        <v>2024</v>
      </c>
      <c r="AC563" s="120"/>
      <c r="AD563" s="147"/>
      <c r="AE563" s="148"/>
      <c r="AF563" s="148"/>
      <c r="AG563" s="148"/>
      <c r="AH563" s="149"/>
    </row>
    <row r="564" spans="1:34" ht="0.75" hidden="1" customHeight="1" x14ac:dyDescent="0.25">
      <c r="A564" s="54"/>
      <c r="B564" s="54"/>
      <c r="C564" s="54"/>
      <c r="D564" s="54" t="s">
        <v>18</v>
      </c>
      <c r="E564" s="54" t="s">
        <v>21</v>
      </c>
      <c r="F564" s="54" t="s">
        <v>18</v>
      </c>
      <c r="G564" s="54" t="s">
        <v>22</v>
      </c>
      <c r="H564" s="54" t="s">
        <v>18</v>
      </c>
      <c r="I564" s="54" t="s">
        <v>23</v>
      </c>
      <c r="J564" s="54" t="s">
        <v>18</v>
      </c>
      <c r="K564" s="54" t="s">
        <v>18</v>
      </c>
      <c r="L564" s="54" t="s">
        <v>20</v>
      </c>
      <c r="M564" s="54" t="s">
        <v>19</v>
      </c>
      <c r="N564" s="54" t="s">
        <v>18</v>
      </c>
      <c r="O564" s="54" t="s">
        <v>21</v>
      </c>
      <c r="P564" s="54" t="s">
        <v>21</v>
      </c>
      <c r="Q564" s="54" t="s">
        <v>18</v>
      </c>
      <c r="R564" s="168" t="s">
        <v>142</v>
      </c>
      <c r="S564" s="55" t="s">
        <v>0</v>
      </c>
      <c r="T564" s="1">
        <f t="shared" ref="T564:Y565" si="129">T567+T570+T573+T576</f>
        <v>1308.2000000000003</v>
      </c>
      <c r="U564" s="1">
        <f t="shared" si="129"/>
        <v>1308.2000000000003</v>
      </c>
      <c r="V564" s="1">
        <f t="shared" si="129"/>
        <v>1308.2000000000003</v>
      </c>
      <c r="W564" s="1">
        <f t="shared" si="129"/>
        <v>1308.2000000000003</v>
      </c>
      <c r="X564" s="1">
        <f t="shared" si="129"/>
        <v>1308.2000000000003</v>
      </c>
      <c r="Y564" s="1">
        <f t="shared" si="129"/>
        <v>1308.2000000000003</v>
      </c>
      <c r="Z564" s="1">
        <f t="shared" ref="Z564" si="130">Z567+Z570+Z573+Z576</f>
        <v>1308.2000000000003</v>
      </c>
      <c r="AA564" s="59">
        <f>T564+U564+V564+W564+X564+Y564</f>
        <v>7849.2000000000025</v>
      </c>
      <c r="AB564" s="73">
        <v>2016</v>
      </c>
      <c r="AC564" s="33"/>
      <c r="AD564" s="12"/>
      <c r="AE564" s="12"/>
    </row>
    <row r="565" spans="1:34" ht="31.15" customHeight="1" x14ac:dyDescent="0.25">
      <c r="A565" s="54"/>
      <c r="B565" s="54"/>
      <c r="C565" s="54"/>
      <c r="D565" s="54" t="s">
        <v>18</v>
      </c>
      <c r="E565" s="54" t="s">
        <v>24</v>
      </c>
      <c r="F565" s="54" t="s">
        <v>18</v>
      </c>
      <c r="G565" s="54" t="s">
        <v>21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19</v>
      </c>
      <c r="N565" s="54" t="s">
        <v>18</v>
      </c>
      <c r="O565" s="54" t="s">
        <v>21</v>
      </c>
      <c r="P565" s="54" t="s">
        <v>21</v>
      </c>
      <c r="Q565" s="54" t="s">
        <v>18</v>
      </c>
      <c r="R565" s="168"/>
      <c r="S565" s="58" t="s">
        <v>0</v>
      </c>
      <c r="T565" s="59">
        <f t="shared" si="129"/>
        <v>1399.4</v>
      </c>
      <c r="U565" s="59">
        <f>U568+U571+U574+U577+U581</f>
        <v>802.7</v>
      </c>
      <c r="V565" s="59">
        <f t="shared" si="129"/>
        <v>0</v>
      </c>
      <c r="W565" s="59">
        <f t="shared" si="129"/>
        <v>0</v>
      </c>
      <c r="X565" s="59">
        <f t="shared" si="129"/>
        <v>0</v>
      </c>
      <c r="Y565" s="59">
        <f t="shared" si="129"/>
        <v>0</v>
      </c>
      <c r="Z565" s="59">
        <f t="shared" ref="Z565" si="131">Z568+Z571+Z574+Z577</f>
        <v>0</v>
      </c>
      <c r="AA565" s="59">
        <f>SUM(T565:Z565)</f>
        <v>2202.1000000000004</v>
      </c>
      <c r="AB565" s="58">
        <v>2019</v>
      </c>
      <c r="AC565" s="120"/>
      <c r="AD565" s="12"/>
      <c r="AE565" s="12"/>
    </row>
    <row r="566" spans="1:34" ht="31.5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40" t="s">
        <v>143</v>
      </c>
      <c r="S566" s="153" t="s">
        <v>50</v>
      </c>
      <c r="T566" s="44">
        <f t="shared" ref="T566:Y566" si="132">T569+T572+T575+T580</f>
        <v>450</v>
      </c>
      <c r="U566" s="44">
        <f>U569+U572+U575+U580+U585</f>
        <v>450</v>
      </c>
      <c r="V566" s="44">
        <f t="shared" si="132"/>
        <v>0</v>
      </c>
      <c r="W566" s="44">
        <f t="shared" si="132"/>
        <v>0</v>
      </c>
      <c r="X566" s="44">
        <f t="shared" si="132"/>
        <v>0</v>
      </c>
      <c r="Y566" s="44">
        <f t="shared" si="132"/>
        <v>0</v>
      </c>
      <c r="Z566" s="44">
        <f t="shared" ref="Z566" si="133">Z569+Z572+Z575+Z580</f>
        <v>0</v>
      </c>
      <c r="AA566" s="49">
        <f>SUM(T566:Z566)</f>
        <v>900</v>
      </c>
      <c r="AB566" s="41">
        <v>2019</v>
      </c>
      <c r="AC566" s="33"/>
      <c r="AD566" s="12"/>
      <c r="AE566" s="12"/>
    </row>
    <row r="567" spans="1:34" ht="36.75" hidden="1" customHeight="1" x14ac:dyDescent="0.25">
      <c r="A567" s="54" t="s">
        <v>18</v>
      </c>
      <c r="B567" s="54" t="s">
        <v>18</v>
      </c>
      <c r="C567" s="54" t="s">
        <v>22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18</v>
      </c>
      <c r="I567" s="54" t="s">
        <v>23</v>
      </c>
      <c r="J567" s="54" t="s">
        <v>18</v>
      </c>
      <c r="K567" s="54" t="s">
        <v>18</v>
      </c>
      <c r="L567" s="54" t="s">
        <v>20</v>
      </c>
      <c r="M567" s="54" t="s">
        <v>19</v>
      </c>
      <c r="N567" s="54" t="s">
        <v>18</v>
      </c>
      <c r="O567" s="54" t="s">
        <v>21</v>
      </c>
      <c r="P567" s="54" t="s">
        <v>21</v>
      </c>
      <c r="Q567" s="54" t="s">
        <v>18</v>
      </c>
      <c r="R567" s="172" t="s">
        <v>384</v>
      </c>
      <c r="S567" s="55" t="s">
        <v>0</v>
      </c>
      <c r="T567" s="1">
        <f t="shared" ref="T567:Z567" si="134">472.4-26.9</f>
        <v>445.5</v>
      </c>
      <c r="U567" s="1">
        <f t="shared" si="134"/>
        <v>445.5</v>
      </c>
      <c r="V567" s="1">
        <f t="shared" si="134"/>
        <v>445.5</v>
      </c>
      <c r="W567" s="1">
        <f t="shared" si="134"/>
        <v>445.5</v>
      </c>
      <c r="X567" s="1">
        <f t="shared" si="134"/>
        <v>445.5</v>
      </c>
      <c r="Y567" s="1">
        <f t="shared" si="134"/>
        <v>445.5</v>
      </c>
      <c r="Z567" s="1">
        <f t="shared" si="134"/>
        <v>445.5</v>
      </c>
      <c r="AA567" s="59">
        <f t="shared" ref="AA567:AA576" si="135">T567+U567+V567+W567+X567+Y567</f>
        <v>2673</v>
      </c>
      <c r="AB567" s="41">
        <v>2023</v>
      </c>
      <c r="AC567" s="33"/>
      <c r="AD567" s="12"/>
      <c r="AE567" s="12"/>
    </row>
    <row r="568" spans="1:34" ht="32.25" customHeight="1" x14ac:dyDescent="0.25">
      <c r="A568" s="54" t="s">
        <v>18</v>
      </c>
      <c r="B568" s="54" t="s">
        <v>18</v>
      </c>
      <c r="C568" s="54" t="s">
        <v>22</v>
      </c>
      <c r="D568" s="54" t="s">
        <v>18</v>
      </c>
      <c r="E568" s="54" t="s">
        <v>24</v>
      </c>
      <c r="F568" s="54" t="s">
        <v>18</v>
      </c>
      <c r="G568" s="54" t="s">
        <v>21</v>
      </c>
      <c r="H568" s="54" t="s">
        <v>19</v>
      </c>
      <c r="I568" s="54" t="s">
        <v>24</v>
      </c>
      <c r="J568" s="54" t="s">
        <v>18</v>
      </c>
      <c r="K568" s="54" t="s">
        <v>18</v>
      </c>
      <c r="L568" s="54" t="s">
        <v>22</v>
      </c>
      <c r="M568" s="54" t="s">
        <v>19</v>
      </c>
      <c r="N568" s="54" t="s">
        <v>18</v>
      </c>
      <c r="O568" s="54" t="s">
        <v>21</v>
      </c>
      <c r="P568" s="54" t="s">
        <v>21</v>
      </c>
      <c r="Q568" s="54" t="s">
        <v>18</v>
      </c>
      <c r="R568" s="172"/>
      <c r="S568" s="55" t="s">
        <v>0</v>
      </c>
      <c r="T568" s="1">
        <f t="shared" ref="T568" si="136">445.5+45.8</f>
        <v>491.3</v>
      </c>
      <c r="U568" s="1">
        <f>445.5+45.8+47.5-415.7</f>
        <v>123.09999999999997</v>
      </c>
      <c r="V568" s="1">
        <f>445.5+45.8+53.6-544.9</f>
        <v>0</v>
      </c>
      <c r="W568" s="1">
        <f t="shared" ref="W568:X568" si="137">445.5+45.8+53.6-544.9</f>
        <v>0</v>
      </c>
      <c r="X568" s="1">
        <f t="shared" si="137"/>
        <v>0</v>
      </c>
      <c r="Y568" s="1">
        <v>0</v>
      </c>
      <c r="Z568" s="1">
        <v>0</v>
      </c>
      <c r="AA568" s="59">
        <f>SUM(T568:Z568)</f>
        <v>614.4</v>
      </c>
      <c r="AB568" s="58">
        <v>2019</v>
      </c>
      <c r="AC568" s="120"/>
    </row>
    <row r="569" spans="1:34" ht="32.2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61" t="s">
        <v>145</v>
      </c>
      <c r="S569" s="153" t="s">
        <v>50</v>
      </c>
      <c r="T569" s="2">
        <v>158</v>
      </c>
      <c r="U569" s="44">
        <v>37</v>
      </c>
      <c r="V569" s="2">
        <f>154-154</f>
        <v>0</v>
      </c>
      <c r="W569" s="2">
        <v>0</v>
      </c>
      <c r="X569" s="2">
        <v>0</v>
      </c>
      <c r="Y569" s="2">
        <v>0</v>
      </c>
      <c r="Z569" s="2">
        <v>0</v>
      </c>
      <c r="AA569" s="49">
        <f>SUM(T569:Z569)</f>
        <v>195</v>
      </c>
      <c r="AB569" s="41">
        <v>2019</v>
      </c>
      <c r="AC569" s="33"/>
    </row>
    <row r="570" spans="1:34" ht="36" hidden="1" customHeight="1" x14ac:dyDescent="0.25">
      <c r="A570" s="54" t="s">
        <v>18</v>
      </c>
      <c r="B570" s="54" t="s">
        <v>18</v>
      </c>
      <c r="C570" s="54" t="s">
        <v>24</v>
      </c>
      <c r="D570" s="54" t="s">
        <v>18</v>
      </c>
      <c r="E570" s="54" t="s">
        <v>21</v>
      </c>
      <c r="F570" s="54" t="s">
        <v>18</v>
      </c>
      <c r="G570" s="54" t="s">
        <v>22</v>
      </c>
      <c r="H570" s="54" t="s">
        <v>18</v>
      </c>
      <c r="I570" s="54" t="s">
        <v>23</v>
      </c>
      <c r="J570" s="54" t="s">
        <v>18</v>
      </c>
      <c r="K570" s="54" t="s">
        <v>18</v>
      </c>
      <c r="L570" s="54" t="s">
        <v>20</v>
      </c>
      <c r="M570" s="54" t="s">
        <v>19</v>
      </c>
      <c r="N570" s="54" t="s">
        <v>18</v>
      </c>
      <c r="O570" s="54" t="s">
        <v>21</v>
      </c>
      <c r="P570" s="54" t="s">
        <v>21</v>
      </c>
      <c r="Q570" s="54" t="s">
        <v>18</v>
      </c>
      <c r="R570" s="174" t="s">
        <v>144</v>
      </c>
      <c r="S570" s="55" t="s">
        <v>0</v>
      </c>
      <c r="T570" s="1">
        <f t="shared" ref="T570:Z570" si="138">302-17.3</f>
        <v>284.7</v>
      </c>
      <c r="U570" s="1">
        <f t="shared" si="138"/>
        <v>284.7</v>
      </c>
      <c r="V570" s="1">
        <f t="shared" si="138"/>
        <v>284.7</v>
      </c>
      <c r="W570" s="1">
        <f t="shared" si="138"/>
        <v>284.7</v>
      </c>
      <c r="X570" s="1">
        <f t="shared" si="138"/>
        <v>284.7</v>
      </c>
      <c r="Y570" s="1">
        <f t="shared" si="138"/>
        <v>284.7</v>
      </c>
      <c r="Z570" s="1">
        <f t="shared" si="138"/>
        <v>284.7</v>
      </c>
      <c r="AA570" s="59">
        <f t="shared" si="135"/>
        <v>1708.2</v>
      </c>
      <c r="AB570" s="41">
        <v>2023</v>
      </c>
      <c r="AC570" s="33"/>
    </row>
    <row r="571" spans="1:34" ht="32.25" customHeight="1" x14ac:dyDescent="0.25">
      <c r="A571" s="54" t="s">
        <v>18</v>
      </c>
      <c r="B571" s="54" t="s">
        <v>18</v>
      </c>
      <c r="C571" s="54" t="s">
        <v>24</v>
      </c>
      <c r="D571" s="54" t="s">
        <v>18</v>
      </c>
      <c r="E571" s="54" t="s">
        <v>24</v>
      </c>
      <c r="F571" s="54" t="s">
        <v>18</v>
      </c>
      <c r="G571" s="54" t="s">
        <v>21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19</v>
      </c>
      <c r="N571" s="54" t="s">
        <v>18</v>
      </c>
      <c r="O571" s="54" t="s">
        <v>21</v>
      </c>
      <c r="P571" s="54" t="s">
        <v>21</v>
      </c>
      <c r="Q571" s="54" t="s">
        <v>18</v>
      </c>
      <c r="R571" s="174"/>
      <c r="S571" s="55" t="s">
        <v>0</v>
      </c>
      <c r="T571" s="1">
        <f t="shared" ref="T571" si="139">284.7-29.7</f>
        <v>255</v>
      </c>
      <c r="U571" s="1">
        <f>284.7-29.7+24.6-218.9</f>
        <v>60.700000000000017</v>
      </c>
      <c r="V571" s="1">
        <f>284.7-29.7+27.8-282.8</f>
        <v>0</v>
      </c>
      <c r="W571" s="1">
        <v>0</v>
      </c>
      <c r="X571" s="1">
        <v>0</v>
      </c>
      <c r="Y571" s="1">
        <v>0</v>
      </c>
      <c r="Z571" s="1">
        <v>0</v>
      </c>
      <c r="AA571" s="59">
        <f>SUM(T571:Z571)</f>
        <v>315.70000000000005</v>
      </c>
      <c r="AB571" s="58">
        <v>2019</v>
      </c>
      <c r="AC571" s="120"/>
    </row>
    <row r="572" spans="1:34" ht="31.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146</v>
      </c>
      <c r="S572" s="153" t="s">
        <v>50</v>
      </c>
      <c r="T572" s="2">
        <v>82</v>
      </c>
      <c r="U572" s="44">
        <v>20</v>
      </c>
      <c r="V572" s="2">
        <f>82-82</f>
        <v>0</v>
      </c>
      <c r="W572" s="2">
        <v>0</v>
      </c>
      <c r="X572" s="2">
        <v>0</v>
      </c>
      <c r="Y572" s="2">
        <v>0</v>
      </c>
      <c r="Z572" s="2">
        <v>0</v>
      </c>
      <c r="AA572" s="49">
        <f>SUM(T572:Z572)</f>
        <v>102</v>
      </c>
      <c r="AB572" s="41">
        <v>2019</v>
      </c>
      <c r="AC572" s="33"/>
    </row>
    <row r="573" spans="1:34" ht="5.25" hidden="1" customHeight="1" x14ac:dyDescent="0.25">
      <c r="A573" s="54" t="s">
        <v>18</v>
      </c>
      <c r="B573" s="54" t="s">
        <v>18</v>
      </c>
      <c r="C573" s="54" t="s">
        <v>21</v>
      </c>
      <c r="D573" s="54" t="s">
        <v>18</v>
      </c>
      <c r="E573" s="54" t="s">
        <v>21</v>
      </c>
      <c r="F573" s="54" t="s">
        <v>18</v>
      </c>
      <c r="G573" s="54" t="s">
        <v>22</v>
      </c>
      <c r="H573" s="54" t="s">
        <v>18</v>
      </c>
      <c r="I573" s="54" t="s">
        <v>23</v>
      </c>
      <c r="J573" s="54" t="s">
        <v>18</v>
      </c>
      <c r="K573" s="54" t="s">
        <v>18</v>
      </c>
      <c r="L573" s="54" t="s">
        <v>20</v>
      </c>
      <c r="M573" s="54" t="s">
        <v>19</v>
      </c>
      <c r="N573" s="54" t="s">
        <v>18</v>
      </c>
      <c r="O573" s="54" t="s">
        <v>21</v>
      </c>
      <c r="P573" s="54" t="s">
        <v>21</v>
      </c>
      <c r="Q573" s="54" t="s">
        <v>18</v>
      </c>
      <c r="R573" s="174" t="s">
        <v>144</v>
      </c>
      <c r="S573" s="55" t="s">
        <v>0</v>
      </c>
      <c r="T573" s="1">
        <f t="shared" ref="T573:Z573" si="140">398.8-22.7</f>
        <v>376.1</v>
      </c>
      <c r="U573" s="1">
        <f t="shared" si="140"/>
        <v>376.1</v>
      </c>
      <c r="V573" s="1">
        <f t="shared" si="140"/>
        <v>376.1</v>
      </c>
      <c r="W573" s="1">
        <f t="shared" si="140"/>
        <v>376.1</v>
      </c>
      <c r="X573" s="1">
        <f t="shared" si="140"/>
        <v>376.1</v>
      </c>
      <c r="Y573" s="1">
        <f t="shared" si="140"/>
        <v>376.1</v>
      </c>
      <c r="Z573" s="1">
        <f t="shared" si="140"/>
        <v>376.1</v>
      </c>
      <c r="AA573" s="59">
        <f t="shared" si="135"/>
        <v>2256.6</v>
      </c>
      <c r="AB573" s="41">
        <v>2023</v>
      </c>
      <c r="AC573" s="33"/>
    </row>
    <row r="574" spans="1:34" ht="33" customHeight="1" x14ac:dyDescent="0.25">
      <c r="A574" s="54" t="s">
        <v>18</v>
      </c>
      <c r="B574" s="54" t="s">
        <v>18</v>
      </c>
      <c r="C574" s="54" t="s">
        <v>21</v>
      </c>
      <c r="D574" s="54" t="s">
        <v>18</v>
      </c>
      <c r="E574" s="54" t="s">
        <v>24</v>
      </c>
      <c r="F574" s="54" t="s">
        <v>18</v>
      </c>
      <c r="G574" s="54" t="s">
        <v>21</v>
      </c>
      <c r="H574" s="54" t="s">
        <v>19</v>
      </c>
      <c r="I574" s="54" t="s">
        <v>24</v>
      </c>
      <c r="J574" s="54" t="s">
        <v>18</v>
      </c>
      <c r="K574" s="54" t="s">
        <v>18</v>
      </c>
      <c r="L574" s="54" t="s">
        <v>22</v>
      </c>
      <c r="M574" s="54" t="s">
        <v>19</v>
      </c>
      <c r="N574" s="54" t="s">
        <v>18</v>
      </c>
      <c r="O574" s="54" t="s">
        <v>21</v>
      </c>
      <c r="P574" s="54" t="s">
        <v>21</v>
      </c>
      <c r="Q574" s="54" t="s">
        <v>18</v>
      </c>
      <c r="R574" s="174"/>
      <c r="S574" s="55" t="s">
        <v>0</v>
      </c>
      <c r="T574" s="1">
        <f t="shared" ref="T574" si="141">376.1+59.3</f>
        <v>435.40000000000003</v>
      </c>
      <c r="U574" s="1">
        <f>376.1+59.3+42-370.4</f>
        <v>107.00000000000006</v>
      </c>
      <c r="V574" s="1">
        <f>376.1+59.3+47.5-482.9</f>
        <v>0</v>
      </c>
      <c r="W574" s="1">
        <v>0</v>
      </c>
      <c r="X574" s="1">
        <v>0</v>
      </c>
      <c r="Y574" s="1">
        <v>0</v>
      </c>
      <c r="Z574" s="1">
        <v>0</v>
      </c>
      <c r="AA574" s="59">
        <f>SUM(T574:Z574)</f>
        <v>542.40000000000009</v>
      </c>
      <c r="AB574" s="58">
        <v>2019</v>
      </c>
      <c r="AC574" s="33"/>
    </row>
    <row r="575" spans="1:34" ht="30.7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61" t="s">
        <v>147</v>
      </c>
      <c r="S575" s="153" t="s">
        <v>50</v>
      </c>
      <c r="T575" s="2">
        <v>140</v>
      </c>
      <c r="U575" s="44">
        <v>31</v>
      </c>
      <c r="V575" s="2">
        <f>141-141</f>
        <v>0</v>
      </c>
      <c r="W575" s="2">
        <v>0</v>
      </c>
      <c r="X575" s="2">
        <v>0</v>
      </c>
      <c r="Y575" s="2">
        <v>0</v>
      </c>
      <c r="Z575" s="2">
        <v>0</v>
      </c>
      <c r="AA575" s="49">
        <f>SUM(T575:Z575)</f>
        <v>171</v>
      </c>
      <c r="AB575" s="41">
        <v>2019</v>
      </c>
      <c r="AC575" s="33"/>
    </row>
    <row r="576" spans="1:34" ht="35.25" hidden="1" customHeight="1" x14ac:dyDescent="0.25">
      <c r="A576" s="54" t="s">
        <v>18</v>
      </c>
      <c r="B576" s="54" t="s">
        <v>18</v>
      </c>
      <c r="C576" s="54" t="s">
        <v>25</v>
      </c>
      <c r="D576" s="54" t="s">
        <v>18</v>
      </c>
      <c r="E576" s="54" t="s">
        <v>21</v>
      </c>
      <c r="F576" s="54" t="s">
        <v>18</v>
      </c>
      <c r="G576" s="54" t="s">
        <v>22</v>
      </c>
      <c r="H576" s="54" t="s">
        <v>18</v>
      </c>
      <c r="I576" s="54" t="s">
        <v>23</v>
      </c>
      <c r="J576" s="54" t="s">
        <v>18</v>
      </c>
      <c r="K576" s="54" t="s">
        <v>18</v>
      </c>
      <c r="L576" s="54" t="s">
        <v>20</v>
      </c>
      <c r="M576" s="54" t="s">
        <v>19</v>
      </c>
      <c r="N576" s="54" t="s">
        <v>18</v>
      </c>
      <c r="O576" s="54" t="s">
        <v>21</v>
      </c>
      <c r="P576" s="54" t="s">
        <v>21</v>
      </c>
      <c r="Q576" s="54" t="s">
        <v>18</v>
      </c>
      <c r="R576" s="174" t="s">
        <v>144</v>
      </c>
      <c r="S576" s="55" t="s">
        <v>0</v>
      </c>
      <c r="T576" s="1">
        <f t="shared" ref="T576:Z576" si="142">214.1-12.2</f>
        <v>201.9</v>
      </c>
      <c r="U576" s="1">
        <f t="shared" si="142"/>
        <v>201.9</v>
      </c>
      <c r="V576" s="1">
        <f t="shared" si="142"/>
        <v>201.9</v>
      </c>
      <c r="W576" s="1">
        <f t="shared" si="142"/>
        <v>201.9</v>
      </c>
      <c r="X576" s="1">
        <f t="shared" si="142"/>
        <v>201.9</v>
      </c>
      <c r="Y576" s="1">
        <f t="shared" si="142"/>
        <v>201.9</v>
      </c>
      <c r="Z576" s="1">
        <f t="shared" si="142"/>
        <v>201.9</v>
      </c>
      <c r="AA576" s="59">
        <f t="shared" si="135"/>
        <v>1211.4000000000001</v>
      </c>
      <c r="AB576" s="41">
        <v>2023</v>
      </c>
    </row>
    <row r="577" spans="1:30" ht="32.25" customHeight="1" x14ac:dyDescent="0.25">
      <c r="A577" s="54" t="s">
        <v>18</v>
      </c>
      <c r="B577" s="54" t="s">
        <v>18</v>
      </c>
      <c r="C577" s="54" t="s">
        <v>25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74"/>
      <c r="S577" s="55" t="s">
        <v>0</v>
      </c>
      <c r="T577" s="1">
        <f>201.9+15.8</f>
        <v>217.70000000000002</v>
      </c>
      <c r="U577" s="1">
        <f>201.9+15.8+1.7+19.3-186.2</f>
        <v>52.500000000000028</v>
      </c>
      <c r="V577" s="1">
        <f>201.9+15.8+1.7+22.1-241.5</f>
        <v>0</v>
      </c>
      <c r="W577" s="1">
        <v>0</v>
      </c>
      <c r="X577" s="1">
        <v>0</v>
      </c>
      <c r="Y577" s="1">
        <v>0</v>
      </c>
      <c r="Z577" s="1">
        <v>0</v>
      </c>
      <c r="AA577" s="59">
        <f>SUM(T577:Z577)</f>
        <v>270.20000000000005</v>
      </c>
      <c r="AB577" s="58">
        <v>2019</v>
      </c>
      <c r="AC577" s="33"/>
    </row>
    <row r="578" spans="1:30" ht="49.5" hidden="1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148</v>
      </c>
      <c r="S578" s="41" t="s">
        <v>8</v>
      </c>
      <c r="T578" s="2">
        <v>56</v>
      </c>
      <c r="U578" s="2">
        <v>56</v>
      </c>
      <c r="V578" s="2">
        <v>56</v>
      </c>
      <c r="W578" s="2">
        <v>56</v>
      </c>
      <c r="X578" s="2">
        <v>56</v>
      </c>
      <c r="Y578" s="2">
        <v>56</v>
      </c>
      <c r="Z578" s="2">
        <v>56</v>
      </c>
      <c r="AA578" s="49">
        <f>T578+U578+V578+W578+X578+Y578+Z578</f>
        <v>392</v>
      </c>
      <c r="AB578" s="41">
        <v>2024</v>
      </c>
    </row>
    <row r="579" spans="1:30" ht="64.5" hidden="1" customHeight="1" x14ac:dyDescent="0.25">
      <c r="A579" s="54" t="s">
        <v>18</v>
      </c>
      <c r="B579" s="54" t="s">
        <v>19</v>
      </c>
      <c r="C579" s="54" t="s">
        <v>24</v>
      </c>
      <c r="D579" s="54" t="s">
        <v>18</v>
      </c>
      <c r="E579" s="54" t="s">
        <v>21</v>
      </c>
      <c r="F579" s="54" t="s">
        <v>18</v>
      </c>
      <c r="G579" s="54" t="s">
        <v>22</v>
      </c>
      <c r="H579" s="54" t="s">
        <v>18</v>
      </c>
      <c r="I579" s="54" t="s">
        <v>23</v>
      </c>
      <c r="J579" s="54" t="s">
        <v>18</v>
      </c>
      <c r="K579" s="54" t="s">
        <v>18</v>
      </c>
      <c r="L579" s="54" t="s">
        <v>22</v>
      </c>
      <c r="M579" s="54" t="s">
        <v>18</v>
      </c>
      <c r="N579" s="54" t="s">
        <v>22</v>
      </c>
      <c r="O579" s="54" t="s">
        <v>22</v>
      </c>
      <c r="P579" s="54" t="s">
        <v>18</v>
      </c>
      <c r="Q579" s="54" t="s">
        <v>22</v>
      </c>
      <c r="R579" s="68" t="s">
        <v>149</v>
      </c>
      <c r="S579" s="55" t="s">
        <v>0</v>
      </c>
      <c r="T579" s="1"/>
      <c r="U579" s="1"/>
      <c r="V579" s="1"/>
      <c r="W579" s="1"/>
      <c r="X579" s="1"/>
      <c r="Y579" s="1"/>
      <c r="Z579" s="1"/>
      <c r="AA579" s="59">
        <f>T579+U579+V579+W579+X579+Y579</f>
        <v>0</v>
      </c>
      <c r="AB579" s="153">
        <v>2020</v>
      </c>
    </row>
    <row r="580" spans="1:30" ht="30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61" t="s">
        <v>148</v>
      </c>
      <c r="S580" s="153" t="s">
        <v>50</v>
      </c>
      <c r="T580" s="44">
        <v>70</v>
      </c>
      <c r="U580" s="44">
        <v>15</v>
      </c>
      <c r="V580" s="44">
        <f>68-68</f>
        <v>0</v>
      </c>
      <c r="W580" s="44">
        <v>0</v>
      </c>
      <c r="X580" s="44">
        <v>0</v>
      </c>
      <c r="Y580" s="44">
        <v>0</v>
      </c>
      <c r="Z580" s="44">
        <v>0</v>
      </c>
      <c r="AA580" s="45">
        <f t="shared" ref="AA580:AA585" si="143">SUM(T580:Z580)</f>
        <v>85</v>
      </c>
      <c r="AB580" s="41">
        <v>2019</v>
      </c>
      <c r="AC580" s="33"/>
    </row>
    <row r="581" spans="1:30" s="131" customFormat="1" ht="31.5" hidden="1" x14ac:dyDescent="0.25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168" t="s">
        <v>331</v>
      </c>
      <c r="S581" s="55" t="s">
        <v>0</v>
      </c>
      <c r="T581" s="1">
        <v>0</v>
      </c>
      <c r="U581" s="1">
        <f>U582+U583</f>
        <v>459.4</v>
      </c>
      <c r="V581" s="1">
        <v>0</v>
      </c>
      <c r="W581" s="1">
        <v>0</v>
      </c>
      <c r="X581" s="1">
        <v>0</v>
      </c>
      <c r="Y581" s="1">
        <v>0</v>
      </c>
      <c r="Z581" s="1">
        <v>0</v>
      </c>
      <c r="AA581" s="59">
        <f t="shared" si="143"/>
        <v>459.4</v>
      </c>
      <c r="AB581" s="55">
        <v>2019</v>
      </c>
      <c r="AC581" s="130"/>
    </row>
    <row r="582" spans="1:30" s="131" customFormat="1" ht="31.5" customHeight="1" x14ac:dyDescent="0.25">
      <c r="A582" s="54" t="s">
        <v>18</v>
      </c>
      <c r="B582" s="54" t="s">
        <v>19</v>
      </c>
      <c r="C582" s="54" t="s">
        <v>20</v>
      </c>
      <c r="D582" s="54" t="s">
        <v>18</v>
      </c>
      <c r="E582" s="54" t="s">
        <v>24</v>
      </c>
      <c r="F582" s="54" t="s">
        <v>18</v>
      </c>
      <c r="G582" s="54" t="s">
        <v>21</v>
      </c>
      <c r="H582" s="54" t="s">
        <v>19</v>
      </c>
      <c r="I582" s="54" t="s">
        <v>24</v>
      </c>
      <c r="J582" s="54" t="s">
        <v>18</v>
      </c>
      <c r="K582" s="54" t="s">
        <v>18</v>
      </c>
      <c r="L582" s="54" t="s">
        <v>22</v>
      </c>
      <c r="M582" s="54" t="s">
        <v>19</v>
      </c>
      <c r="N582" s="54" t="s">
        <v>18</v>
      </c>
      <c r="O582" s="54" t="s">
        <v>21</v>
      </c>
      <c r="P582" s="54" t="s">
        <v>21</v>
      </c>
      <c r="Q582" s="54" t="s">
        <v>18</v>
      </c>
      <c r="R582" s="168"/>
      <c r="S582" s="55" t="s">
        <v>0</v>
      </c>
      <c r="T582" s="1">
        <v>0</v>
      </c>
      <c r="U582" s="1">
        <v>459.4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si="143"/>
        <v>459.4</v>
      </c>
      <c r="AB582" s="55">
        <v>2019</v>
      </c>
      <c r="AC582" s="130"/>
    </row>
    <row r="583" spans="1:30" s="131" customFormat="1" ht="31.5" hidden="1" x14ac:dyDescent="0.25">
      <c r="A583" s="54" t="s">
        <v>18</v>
      </c>
      <c r="B583" s="54" t="s">
        <v>19</v>
      </c>
      <c r="C583" s="54" t="s">
        <v>20</v>
      </c>
      <c r="D583" s="54" t="s">
        <v>18</v>
      </c>
      <c r="E583" s="54" t="s">
        <v>24</v>
      </c>
      <c r="F583" s="54" t="s">
        <v>18</v>
      </c>
      <c r="G583" s="54" t="s">
        <v>21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22</v>
      </c>
      <c r="M583" s="54" t="s">
        <v>18</v>
      </c>
      <c r="N583" s="54" t="s">
        <v>18</v>
      </c>
      <c r="O583" s="54" t="s">
        <v>18</v>
      </c>
      <c r="P583" s="54" t="s">
        <v>18</v>
      </c>
      <c r="Q583" s="54" t="s">
        <v>18</v>
      </c>
      <c r="R583" s="168"/>
      <c r="S583" s="55" t="s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59">
        <f t="shared" si="143"/>
        <v>0</v>
      </c>
      <c r="AB583" s="55">
        <v>2019</v>
      </c>
      <c r="AC583" s="130"/>
    </row>
    <row r="584" spans="1:30" s="72" customFormat="1" ht="47.25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 t="s">
        <v>313</v>
      </c>
      <c r="N584" s="39"/>
      <c r="O584" s="39"/>
      <c r="P584" s="39"/>
      <c r="Q584" s="39"/>
      <c r="R584" s="40" t="s">
        <v>312</v>
      </c>
      <c r="S584" s="41" t="s">
        <v>279</v>
      </c>
      <c r="T584" s="44">
        <v>0</v>
      </c>
      <c r="U584" s="44">
        <v>175</v>
      </c>
      <c r="V584" s="44">
        <v>0</v>
      </c>
      <c r="W584" s="44">
        <v>0</v>
      </c>
      <c r="X584" s="44">
        <v>0</v>
      </c>
      <c r="Y584" s="44">
        <v>0</v>
      </c>
      <c r="Z584" s="44">
        <v>0</v>
      </c>
      <c r="AA584" s="49">
        <f t="shared" si="143"/>
        <v>175</v>
      </c>
      <c r="AB584" s="41">
        <v>2019</v>
      </c>
      <c r="AC584" s="111"/>
    </row>
    <row r="585" spans="1:30" s="72" customFormat="1" ht="32.2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40" t="s">
        <v>294</v>
      </c>
      <c r="S585" s="41" t="s">
        <v>50</v>
      </c>
      <c r="T585" s="44">
        <v>0</v>
      </c>
      <c r="U585" s="44">
        <v>347</v>
      </c>
      <c r="V585" s="44">
        <v>0</v>
      </c>
      <c r="W585" s="44">
        <v>0</v>
      </c>
      <c r="X585" s="44">
        <v>0</v>
      </c>
      <c r="Y585" s="44">
        <v>0</v>
      </c>
      <c r="Z585" s="44">
        <v>0</v>
      </c>
      <c r="AA585" s="49">
        <f t="shared" si="143"/>
        <v>347</v>
      </c>
      <c r="AB585" s="41">
        <v>2019</v>
      </c>
      <c r="AC585" s="111"/>
    </row>
    <row r="586" spans="1:30" ht="47.25" customHeight="1" x14ac:dyDescent="0.25">
      <c r="A586" s="54"/>
      <c r="B586" s="54"/>
      <c r="C586" s="54"/>
      <c r="D586" s="54" t="s">
        <v>18</v>
      </c>
      <c r="E586" s="54" t="s">
        <v>21</v>
      </c>
      <c r="F586" s="54" t="s">
        <v>18</v>
      </c>
      <c r="G586" s="54" t="s">
        <v>22</v>
      </c>
      <c r="H586" s="54" t="s">
        <v>19</v>
      </c>
      <c r="I586" s="54" t="s">
        <v>24</v>
      </c>
      <c r="J586" s="54" t="s">
        <v>18</v>
      </c>
      <c r="K586" s="54" t="s">
        <v>18</v>
      </c>
      <c r="L586" s="54" t="s">
        <v>22</v>
      </c>
      <c r="M586" s="54" t="s">
        <v>43</v>
      </c>
      <c r="N586" s="54" t="s">
        <v>43</v>
      </c>
      <c r="O586" s="54" t="s">
        <v>43</v>
      </c>
      <c r="P586" s="54" t="s">
        <v>43</v>
      </c>
      <c r="Q586" s="54" t="s">
        <v>43</v>
      </c>
      <c r="R586" s="68" t="s">
        <v>150</v>
      </c>
      <c r="S586" s="58" t="s">
        <v>0</v>
      </c>
      <c r="T586" s="59">
        <f t="shared" ref="T586:Y587" si="144">T588+T590+T592+T594</f>
        <v>69.999999999999986</v>
      </c>
      <c r="U586" s="59">
        <f t="shared" si="144"/>
        <v>25.8</v>
      </c>
      <c r="V586" s="59">
        <f t="shared" si="144"/>
        <v>57.699999999999996</v>
      </c>
      <c r="W586" s="59">
        <f t="shared" si="144"/>
        <v>0</v>
      </c>
      <c r="X586" s="59">
        <f t="shared" si="144"/>
        <v>0</v>
      </c>
      <c r="Y586" s="59">
        <f t="shared" si="144"/>
        <v>0</v>
      </c>
      <c r="Z586" s="59">
        <f t="shared" ref="Z586" si="145">Z588+Z590+Z592+Z594</f>
        <v>0</v>
      </c>
      <c r="AA586" s="59">
        <f>AA588+AA590+AA592+AA594</f>
        <v>153.5</v>
      </c>
      <c r="AB586" s="58">
        <v>2020</v>
      </c>
      <c r="AC586" s="120"/>
    </row>
    <row r="587" spans="1:30" ht="4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61" t="s">
        <v>151</v>
      </c>
      <c r="S587" s="153" t="s">
        <v>38</v>
      </c>
      <c r="T587" s="44">
        <f t="shared" si="144"/>
        <v>27</v>
      </c>
      <c r="U587" s="44">
        <f t="shared" si="144"/>
        <v>4</v>
      </c>
      <c r="V587" s="44">
        <f t="shared" si="144"/>
        <v>16</v>
      </c>
      <c r="W587" s="44">
        <f t="shared" si="144"/>
        <v>0</v>
      </c>
      <c r="X587" s="44">
        <f t="shared" si="144"/>
        <v>0</v>
      </c>
      <c r="Y587" s="44">
        <f t="shared" si="144"/>
        <v>0</v>
      </c>
      <c r="Z587" s="44">
        <f>Z589+Z591+Z593+Z595</f>
        <v>0</v>
      </c>
      <c r="AA587" s="49">
        <f>T587+U587+V587+W587+X587+Y587+Z587</f>
        <v>47</v>
      </c>
      <c r="AB587" s="41">
        <v>2020</v>
      </c>
      <c r="AC587" s="33"/>
    </row>
    <row r="588" spans="1:30" ht="47.25" x14ac:dyDescent="0.25">
      <c r="A588" s="54" t="s">
        <v>18</v>
      </c>
      <c r="B588" s="54" t="s">
        <v>18</v>
      </c>
      <c r="C588" s="54" t="s">
        <v>22</v>
      </c>
      <c r="D588" s="54" t="s">
        <v>18</v>
      </c>
      <c r="E588" s="54" t="s">
        <v>21</v>
      </c>
      <c r="F588" s="54" t="s">
        <v>18</v>
      </c>
      <c r="G588" s="54" t="s">
        <v>22</v>
      </c>
      <c r="H588" s="54" t="s">
        <v>19</v>
      </c>
      <c r="I588" s="54" t="s">
        <v>24</v>
      </c>
      <c r="J588" s="54" t="s">
        <v>18</v>
      </c>
      <c r="K588" s="54" t="s">
        <v>18</v>
      </c>
      <c r="L588" s="54" t="s">
        <v>22</v>
      </c>
      <c r="M588" s="54" t="s">
        <v>43</v>
      </c>
      <c r="N588" s="54" t="s">
        <v>43</v>
      </c>
      <c r="O588" s="54" t="s">
        <v>43</v>
      </c>
      <c r="P588" s="54" t="s">
        <v>43</v>
      </c>
      <c r="Q588" s="54" t="s">
        <v>43</v>
      </c>
      <c r="R588" s="68" t="s">
        <v>152</v>
      </c>
      <c r="S588" s="55" t="s">
        <v>0</v>
      </c>
      <c r="T588" s="1">
        <f>18.2-1.8-10.9</f>
        <v>5.4999999999999982</v>
      </c>
      <c r="U588" s="1">
        <v>18.2</v>
      </c>
      <c r="V588" s="1">
        <v>0</v>
      </c>
      <c r="W588" s="1">
        <v>0</v>
      </c>
      <c r="X588" s="1">
        <v>0</v>
      </c>
      <c r="Y588" s="1">
        <v>0</v>
      </c>
      <c r="Z588" s="1">
        <v>0</v>
      </c>
      <c r="AA588" s="59">
        <f t="shared" ref="AA588:AA595" si="146">T588+U588+V588+W588+X588+Y588+Z588</f>
        <v>23.699999999999996</v>
      </c>
      <c r="AB588" s="58">
        <v>2019</v>
      </c>
      <c r="AC588" s="120"/>
    </row>
    <row r="589" spans="1:30" ht="47.2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61" t="s">
        <v>153</v>
      </c>
      <c r="S589" s="153" t="s">
        <v>38</v>
      </c>
      <c r="T589" s="82">
        <v>2</v>
      </c>
      <c r="U589" s="82">
        <v>2</v>
      </c>
      <c r="V589" s="82">
        <v>0</v>
      </c>
      <c r="W589" s="82">
        <v>0</v>
      </c>
      <c r="X589" s="82">
        <v>0</v>
      </c>
      <c r="Y589" s="82">
        <v>0</v>
      </c>
      <c r="Z589" s="82">
        <v>0</v>
      </c>
      <c r="AA589" s="98">
        <f t="shared" si="146"/>
        <v>4</v>
      </c>
      <c r="AB589" s="41">
        <v>2019</v>
      </c>
      <c r="AC589" s="33"/>
    </row>
    <row r="590" spans="1:30" ht="47.25" x14ac:dyDescent="0.25">
      <c r="A590" s="54" t="s">
        <v>18</v>
      </c>
      <c r="B590" s="54" t="s">
        <v>18</v>
      </c>
      <c r="C590" s="54" t="s">
        <v>24</v>
      </c>
      <c r="D590" s="54" t="s">
        <v>18</v>
      </c>
      <c r="E590" s="54" t="s">
        <v>21</v>
      </c>
      <c r="F590" s="54" t="s">
        <v>18</v>
      </c>
      <c r="G590" s="54" t="s">
        <v>22</v>
      </c>
      <c r="H590" s="54" t="s">
        <v>19</v>
      </c>
      <c r="I590" s="54" t="s">
        <v>24</v>
      </c>
      <c r="J590" s="54" t="s">
        <v>18</v>
      </c>
      <c r="K590" s="54" t="s">
        <v>18</v>
      </c>
      <c r="L590" s="54" t="s">
        <v>22</v>
      </c>
      <c r="M590" s="54" t="s">
        <v>43</v>
      </c>
      <c r="N590" s="54" t="s">
        <v>43</v>
      </c>
      <c r="O590" s="54" t="s">
        <v>43</v>
      </c>
      <c r="P590" s="54" t="s">
        <v>43</v>
      </c>
      <c r="Q590" s="54" t="s">
        <v>43</v>
      </c>
      <c r="R590" s="68" t="s">
        <v>152</v>
      </c>
      <c r="S590" s="55" t="s">
        <v>0</v>
      </c>
      <c r="T590" s="1">
        <f>72.8-43.1</f>
        <v>29.699999999999996</v>
      </c>
      <c r="U590" s="1">
        <f>31.8-31.8</f>
        <v>0</v>
      </c>
      <c r="V590" s="1">
        <v>31.8</v>
      </c>
      <c r="W590" s="1">
        <v>0</v>
      </c>
      <c r="X590" s="1">
        <v>0</v>
      </c>
      <c r="Y590" s="1">
        <v>0</v>
      </c>
      <c r="Z590" s="1">
        <v>0</v>
      </c>
      <c r="AA590" s="59">
        <f t="shared" si="146"/>
        <v>61.5</v>
      </c>
      <c r="AB590" s="58">
        <v>2020</v>
      </c>
      <c r="AC590" s="120"/>
    </row>
    <row r="591" spans="1:30" ht="47.2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61" t="s">
        <v>154</v>
      </c>
      <c r="S591" s="153" t="s">
        <v>38</v>
      </c>
      <c r="T591" s="82">
        <v>10</v>
      </c>
      <c r="U591" s="82">
        <v>0</v>
      </c>
      <c r="V591" s="82">
        <v>10</v>
      </c>
      <c r="W591" s="82">
        <v>0</v>
      </c>
      <c r="X591" s="82">
        <v>0</v>
      </c>
      <c r="Y591" s="82">
        <v>0</v>
      </c>
      <c r="Z591" s="82">
        <v>0</v>
      </c>
      <c r="AA591" s="98">
        <f t="shared" si="146"/>
        <v>20</v>
      </c>
      <c r="AB591" s="41">
        <v>2020</v>
      </c>
      <c r="AC591" s="33"/>
    </row>
    <row r="592" spans="1:30" ht="48" customHeight="1" x14ac:dyDescent="0.25">
      <c r="A592" s="54" t="s">
        <v>18</v>
      </c>
      <c r="B592" s="54" t="s">
        <v>18</v>
      </c>
      <c r="C592" s="54" t="s">
        <v>21</v>
      </c>
      <c r="D592" s="54" t="s">
        <v>18</v>
      </c>
      <c r="E592" s="54" t="s">
        <v>21</v>
      </c>
      <c r="F592" s="54" t="s">
        <v>18</v>
      </c>
      <c r="G592" s="54" t="s">
        <v>22</v>
      </c>
      <c r="H592" s="54" t="s">
        <v>19</v>
      </c>
      <c r="I592" s="54" t="s">
        <v>24</v>
      </c>
      <c r="J592" s="54" t="s">
        <v>18</v>
      </c>
      <c r="K592" s="54" t="s">
        <v>18</v>
      </c>
      <c r="L592" s="54" t="s">
        <v>22</v>
      </c>
      <c r="M592" s="54" t="s">
        <v>43</v>
      </c>
      <c r="N592" s="54" t="s">
        <v>43</v>
      </c>
      <c r="O592" s="54" t="s">
        <v>43</v>
      </c>
      <c r="P592" s="54" t="s">
        <v>43</v>
      </c>
      <c r="Q592" s="54" t="s">
        <v>43</v>
      </c>
      <c r="R592" s="68" t="s">
        <v>155</v>
      </c>
      <c r="S592" s="55" t="s">
        <v>0</v>
      </c>
      <c r="T592" s="63">
        <f>36.4-4.4</f>
        <v>32</v>
      </c>
      <c r="U592" s="63">
        <f>34.6-34.6</f>
        <v>0</v>
      </c>
      <c r="V592" s="63">
        <f>31.8-22.8</f>
        <v>9</v>
      </c>
      <c r="W592" s="1">
        <v>0</v>
      </c>
      <c r="X592" s="1">
        <v>0</v>
      </c>
      <c r="Y592" s="1">
        <v>0</v>
      </c>
      <c r="Z592" s="1">
        <v>0</v>
      </c>
      <c r="AA592" s="59">
        <f t="shared" si="146"/>
        <v>41</v>
      </c>
      <c r="AB592" s="58">
        <v>2020</v>
      </c>
      <c r="AC592" s="119"/>
      <c r="AD592" s="102"/>
    </row>
    <row r="593" spans="1:33" ht="47.2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61" t="s">
        <v>156</v>
      </c>
      <c r="S593" s="153" t="s">
        <v>38</v>
      </c>
      <c r="T593" s="82">
        <v>14</v>
      </c>
      <c r="U593" s="82">
        <v>0</v>
      </c>
      <c r="V593" s="82">
        <v>2</v>
      </c>
      <c r="W593" s="82">
        <v>0</v>
      </c>
      <c r="X593" s="82">
        <v>0</v>
      </c>
      <c r="Y593" s="82">
        <v>0</v>
      </c>
      <c r="Z593" s="82">
        <v>0</v>
      </c>
      <c r="AA593" s="99">
        <f t="shared" si="146"/>
        <v>16</v>
      </c>
      <c r="AB593" s="41">
        <v>2020</v>
      </c>
      <c r="AC593" s="33"/>
    </row>
    <row r="594" spans="1:33" ht="48" customHeight="1" x14ac:dyDescent="0.25">
      <c r="A594" s="54" t="s">
        <v>18</v>
      </c>
      <c r="B594" s="54" t="s">
        <v>18</v>
      </c>
      <c r="C594" s="54" t="s">
        <v>25</v>
      </c>
      <c r="D594" s="54" t="s">
        <v>18</v>
      </c>
      <c r="E594" s="54" t="s">
        <v>21</v>
      </c>
      <c r="F594" s="54" t="s">
        <v>18</v>
      </c>
      <c r="G594" s="54" t="s">
        <v>22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22</v>
      </c>
      <c r="M594" s="54" t="s">
        <v>43</v>
      </c>
      <c r="N594" s="54" t="s">
        <v>43</v>
      </c>
      <c r="O594" s="54" t="s">
        <v>43</v>
      </c>
      <c r="P594" s="54" t="s">
        <v>43</v>
      </c>
      <c r="Q594" s="54" t="s">
        <v>43</v>
      </c>
      <c r="R594" s="68" t="s">
        <v>152</v>
      </c>
      <c r="S594" s="55" t="s">
        <v>0</v>
      </c>
      <c r="T594" s="1">
        <f>35-32.2</f>
        <v>2.7999999999999972</v>
      </c>
      <c r="U594" s="1">
        <f>35-27.4</f>
        <v>7.6000000000000014</v>
      </c>
      <c r="V594" s="1">
        <f>35-18.1</f>
        <v>16.899999999999999</v>
      </c>
      <c r="W594" s="1">
        <v>0</v>
      </c>
      <c r="X594" s="1">
        <v>0</v>
      </c>
      <c r="Y594" s="1">
        <v>0</v>
      </c>
      <c r="Z594" s="1">
        <v>0</v>
      </c>
      <c r="AA594" s="59">
        <f t="shared" si="146"/>
        <v>27.299999999999997</v>
      </c>
      <c r="AB594" s="58">
        <v>2020</v>
      </c>
      <c r="AC594" s="33"/>
    </row>
    <row r="595" spans="1:33" ht="48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61" t="s">
        <v>157</v>
      </c>
      <c r="S595" s="153" t="s">
        <v>38</v>
      </c>
      <c r="T595" s="41">
        <v>1</v>
      </c>
      <c r="U595" s="41">
        <v>2</v>
      </c>
      <c r="V595" s="41">
        <v>4</v>
      </c>
      <c r="W595" s="82">
        <v>0</v>
      </c>
      <c r="X595" s="82">
        <v>0</v>
      </c>
      <c r="Y595" s="82">
        <v>0</v>
      </c>
      <c r="Z595" s="82">
        <v>0</v>
      </c>
      <c r="AA595" s="49">
        <f t="shared" si="146"/>
        <v>7</v>
      </c>
      <c r="AB595" s="41">
        <v>2020</v>
      </c>
      <c r="AC595" s="33"/>
    </row>
    <row r="596" spans="1:33" ht="31.5" hidden="1" x14ac:dyDescent="0.25">
      <c r="A596" s="54" t="s">
        <v>18</v>
      </c>
      <c r="B596" s="54" t="s">
        <v>19</v>
      </c>
      <c r="C596" s="54" t="s">
        <v>20</v>
      </c>
      <c r="D596" s="54" t="s">
        <v>18</v>
      </c>
      <c r="E596" s="54" t="s">
        <v>24</v>
      </c>
      <c r="F596" s="54" t="s">
        <v>18</v>
      </c>
      <c r="G596" s="54" t="s">
        <v>21</v>
      </c>
      <c r="H596" s="54" t="s">
        <v>19</v>
      </c>
      <c r="I596" s="54" t="s">
        <v>24</v>
      </c>
      <c r="J596" s="54" t="s">
        <v>18</v>
      </c>
      <c r="K596" s="54" t="s">
        <v>18</v>
      </c>
      <c r="L596" s="54" t="s">
        <v>22</v>
      </c>
      <c r="M596" s="54" t="s">
        <v>18</v>
      </c>
      <c r="N596" s="54" t="s">
        <v>18</v>
      </c>
      <c r="O596" s="54" t="s">
        <v>18</v>
      </c>
      <c r="P596" s="54" t="s">
        <v>18</v>
      </c>
      <c r="Q596" s="54" t="s">
        <v>18</v>
      </c>
      <c r="R596" s="69" t="s">
        <v>295</v>
      </c>
      <c r="S596" s="58" t="s">
        <v>0</v>
      </c>
      <c r="T596" s="59">
        <v>0</v>
      </c>
      <c r="U596" s="59">
        <v>0</v>
      </c>
      <c r="V596" s="59">
        <v>0</v>
      </c>
      <c r="W596" s="1">
        <v>0</v>
      </c>
      <c r="X596" s="59">
        <v>0</v>
      </c>
      <c r="Y596" s="59">
        <v>0</v>
      </c>
      <c r="Z596" s="59">
        <v>0</v>
      </c>
      <c r="AA596" s="59">
        <f>T596+U596+V596+W596+X596+Y596</f>
        <v>0</v>
      </c>
      <c r="AB596" s="58">
        <v>2019</v>
      </c>
      <c r="AC596" s="33"/>
    </row>
    <row r="597" spans="1:33" ht="31.5" hidden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61" t="s">
        <v>165</v>
      </c>
      <c r="S597" s="153" t="s">
        <v>38</v>
      </c>
      <c r="T597" s="41">
        <v>0</v>
      </c>
      <c r="U597" s="41">
        <v>1</v>
      </c>
      <c r="V597" s="41">
        <v>0</v>
      </c>
      <c r="W597" s="82">
        <v>0</v>
      </c>
      <c r="X597" s="41">
        <v>0</v>
      </c>
      <c r="Y597" s="41">
        <v>0</v>
      </c>
      <c r="Z597" s="41">
        <v>0</v>
      </c>
      <c r="AA597" s="49">
        <v>1</v>
      </c>
      <c r="AB597" s="41">
        <v>2019</v>
      </c>
      <c r="AC597" s="33"/>
    </row>
    <row r="598" spans="1:33" ht="78.75" hidden="1" x14ac:dyDescent="0.25">
      <c r="A598" s="54" t="s">
        <v>18</v>
      </c>
      <c r="B598" s="54" t="s">
        <v>19</v>
      </c>
      <c r="C598" s="54" t="s">
        <v>20</v>
      </c>
      <c r="D598" s="54" t="s">
        <v>18</v>
      </c>
      <c r="E598" s="54" t="s">
        <v>24</v>
      </c>
      <c r="F598" s="54" t="s">
        <v>18</v>
      </c>
      <c r="G598" s="54" t="s">
        <v>21</v>
      </c>
      <c r="H598" s="54" t="s">
        <v>19</v>
      </c>
      <c r="I598" s="54" t="s">
        <v>24</v>
      </c>
      <c r="J598" s="54" t="s">
        <v>18</v>
      </c>
      <c r="K598" s="54" t="s">
        <v>18</v>
      </c>
      <c r="L598" s="54" t="s">
        <v>22</v>
      </c>
      <c r="M598" s="54" t="s">
        <v>18</v>
      </c>
      <c r="N598" s="54" t="s">
        <v>18</v>
      </c>
      <c r="O598" s="54" t="s">
        <v>18</v>
      </c>
      <c r="P598" s="54" t="s">
        <v>18</v>
      </c>
      <c r="Q598" s="54" t="s">
        <v>18</v>
      </c>
      <c r="R598" s="69" t="s">
        <v>296</v>
      </c>
      <c r="S598" s="58" t="s">
        <v>0</v>
      </c>
      <c r="T598" s="59">
        <v>0</v>
      </c>
      <c r="U598" s="59">
        <v>0</v>
      </c>
      <c r="V598" s="59">
        <v>0</v>
      </c>
      <c r="W598" s="1">
        <v>0</v>
      </c>
      <c r="X598" s="59">
        <v>0</v>
      </c>
      <c r="Y598" s="59">
        <v>0</v>
      </c>
      <c r="Z598" s="59">
        <v>0</v>
      </c>
      <c r="AA598" s="59">
        <f>T598+U598+V598+W598+X598+Y598</f>
        <v>0</v>
      </c>
      <c r="AB598" s="58">
        <v>2019</v>
      </c>
      <c r="AC598" s="33"/>
    </row>
    <row r="599" spans="1:33" s="72" customFormat="1" ht="33" hidden="1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40" t="s">
        <v>297</v>
      </c>
      <c r="S599" s="41" t="s">
        <v>38</v>
      </c>
      <c r="T599" s="41">
        <v>0</v>
      </c>
      <c r="U599" s="41">
        <v>1</v>
      </c>
      <c r="V599" s="41">
        <v>0</v>
      </c>
      <c r="W599" s="82">
        <v>0</v>
      </c>
      <c r="X599" s="41">
        <v>0</v>
      </c>
      <c r="Y599" s="41">
        <v>0</v>
      </c>
      <c r="Z599" s="41">
        <v>0</v>
      </c>
      <c r="AA599" s="49">
        <f>U599</f>
        <v>1</v>
      </c>
      <c r="AB599" s="41">
        <v>2019</v>
      </c>
      <c r="AC599" s="111"/>
    </row>
    <row r="600" spans="1:33" ht="79.5" customHeight="1" x14ac:dyDescent="0.25">
      <c r="A600" s="54" t="s">
        <v>18</v>
      </c>
      <c r="B600" s="54" t="s">
        <v>19</v>
      </c>
      <c r="C600" s="54" t="s">
        <v>20</v>
      </c>
      <c r="D600" s="54" t="s">
        <v>18</v>
      </c>
      <c r="E600" s="54" t="s">
        <v>24</v>
      </c>
      <c r="F600" s="54" t="s">
        <v>18</v>
      </c>
      <c r="G600" s="54" t="s">
        <v>21</v>
      </c>
      <c r="H600" s="54" t="s">
        <v>19</v>
      </c>
      <c r="I600" s="54" t="s">
        <v>24</v>
      </c>
      <c r="J600" s="54" t="s">
        <v>18</v>
      </c>
      <c r="K600" s="54" t="s">
        <v>18</v>
      </c>
      <c r="L600" s="54" t="s">
        <v>22</v>
      </c>
      <c r="M600" s="54" t="s">
        <v>19</v>
      </c>
      <c r="N600" s="54" t="s">
        <v>18</v>
      </c>
      <c r="O600" s="54" t="s">
        <v>21</v>
      </c>
      <c r="P600" s="54" t="s">
        <v>21</v>
      </c>
      <c r="Q600" s="54" t="s">
        <v>18</v>
      </c>
      <c r="R600" s="152" t="s">
        <v>309</v>
      </c>
      <c r="S600" s="58" t="s">
        <v>0</v>
      </c>
      <c r="T600" s="59">
        <v>0</v>
      </c>
      <c r="U600" s="59">
        <v>731.8</v>
      </c>
      <c r="V600" s="59">
        <v>0</v>
      </c>
      <c r="W600" s="59">
        <v>0</v>
      </c>
      <c r="X600" s="59">
        <v>0</v>
      </c>
      <c r="Y600" s="59">
        <v>0</v>
      </c>
      <c r="Z600" s="59">
        <v>0</v>
      </c>
      <c r="AA600" s="59">
        <f>T600+U600+V600+W600+X600+Y600</f>
        <v>731.8</v>
      </c>
      <c r="AB600" s="58">
        <v>2019</v>
      </c>
    </row>
    <row r="601" spans="1:33" s="72" customFormat="1" ht="31.5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78" t="s">
        <v>298</v>
      </c>
      <c r="S601" s="41" t="s">
        <v>50</v>
      </c>
      <c r="T601" s="44">
        <v>0</v>
      </c>
      <c r="U601" s="44">
        <v>347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9">
        <f>U601</f>
        <v>347</v>
      </c>
      <c r="AB601" s="73">
        <v>2019</v>
      </c>
      <c r="AC601" s="111"/>
    </row>
    <row r="602" spans="1:33" ht="31.5" x14ac:dyDescent="0.25">
      <c r="A602" s="46"/>
      <c r="B602" s="46"/>
      <c r="C602" s="46"/>
      <c r="D602" s="46"/>
      <c r="E602" s="46"/>
      <c r="F602" s="46"/>
      <c r="G602" s="46"/>
      <c r="H602" s="46" t="s">
        <v>19</v>
      </c>
      <c r="I602" s="46" t="s">
        <v>24</v>
      </c>
      <c r="J602" s="46" t="s">
        <v>18</v>
      </c>
      <c r="K602" s="46" t="s">
        <v>18</v>
      </c>
      <c r="L602" s="46" t="s">
        <v>24</v>
      </c>
      <c r="M602" s="46" t="s">
        <v>18</v>
      </c>
      <c r="N602" s="46" t="s">
        <v>18</v>
      </c>
      <c r="O602" s="46" t="s">
        <v>18</v>
      </c>
      <c r="P602" s="46" t="s">
        <v>18</v>
      </c>
      <c r="Q602" s="46" t="s">
        <v>18</v>
      </c>
      <c r="R602" s="75" t="s">
        <v>54</v>
      </c>
      <c r="S602" s="141" t="s">
        <v>0</v>
      </c>
      <c r="T602" s="140">
        <f t="shared" ref="T602:Y602" si="147">T604+T616+T612</f>
        <v>25348.3</v>
      </c>
      <c r="U602" s="140">
        <f t="shared" si="147"/>
        <v>35592.6</v>
      </c>
      <c r="V602" s="140">
        <f t="shared" si="147"/>
        <v>25348.3</v>
      </c>
      <c r="W602" s="140">
        <f t="shared" si="147"/>
        <v>26934.5</v>
      </c>
      <c r="X602" s="140">
        <f t="shared" si="147"/>
        <v>26770.400000000001</v>
      </c>
      <c r="Y602" s="140">
        <f t="shared" si="147"/>
        <v>33673</v>
      </c>
      <c r="Z602" s="140">
        <f>Z604+Z616+Z612</f>
        <v>40179.5</v>
      </c>
      <c r="AA602" s="140">
        <f>SUM(T602:Z602)</f>
        <v>213846.6</v>
      </c>
      <c r="AB602" s="141">
        <v>2024</v>
      </c>
    </row>
    <row r="603" spans="1:33" ht="31.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92" t="s">
        <v>158</v>
      </c>
      <c r="S603" s="153" t="s">
        <v>52</v>
      </c>
      <c r="T603" s="137">
        <f>T607</f>
        <v>2225</v>
      </c>
      <c r="U603" s="137">
        <f t="shared" ref="U603:AA603" si="148">U607</f>
        <v>2224</v>
      </c>
      <c r="V603" s="137">
        <f t="shared" si="148"/>
        <v>2224</v>
      </c>
      <c r="W603" s="137">
        <f t="shared" si="148"/>
        <v>2224</v>
      </c>
      <c r="X603" s="137">
        <f t="shared" si="148"/>
        <v>2224</v>
      </c>
      <c r="Y603" s="137">
        <f t="shared" si="148"/>
        <v>2224</v>
      </c>
      <c r="Z603" s="137">
        <f t="shared" ref="Z603" si="149">Z607</f>
        <v>2224</v>
      </c>
      <c r="AA603" s="138">
        <f t="shared" si="148"/>
        <v>2224</v>
      </c>
      <c r="AB603" s="41">
        <v>2024</v>
      </c>
      <c r="AD603" s="12"/>
      <c r="AE603" s="12"/>
      <c r="AF603" s="12"/>
      <c r="AG603" s="12"/>
    </row>
    <row r="604" spans="1:33" x14ac:dyDescent="0.25">
      <c r="A604" s="54"/>
      <c r="B604" s="54"/>
      <c r="C604" s="54"/>
      <c r="D604" s="54" t="s">
        <v>18</v>
      </c>
      <c r="E604" s="54" t="s">
        <v>21</v>
      </c>
      <c r="F604" s="54" t="s">
        <v>18</v>
      </c>
      <c r="G604" s="54" t="s">
        <v>22</v>
      </c>
      <c r="H604" s="54" t="s">
        <v>19</v>
      </c>
      <c r="I604" s="54" t="s">
        <v>24</v>
      </c>
      <c r="J604" s="54" t="s">
        <v>18</v>
      </c>
      <c r="K604" s="54" t="s">
        <v>18</v>
      </c>
      <c r="L604" s="54" t="s">
        <v>24</v>
      </c>
      <c r="M604" s="54" t="s">
        <v>43</v>
      </c>
      <c r="N604" s="54" t="s">
        <v>43</v>
      </c>
      <c r="O604" s="54" t="s">
        <v>43</v>
      </c>
      <c r="P604" s="54" t="s">
        <v>43</v>
      </c>
      <c r="Q604" s="54" t="s">
        <v>43</v>
      </c>
      <c r="R604" s="175" t="s">
        <v>159</v>
      </c>
      <c r="S604" s="165" t="s">
        <v>0</v>
      </c>
      <c r="T604" s="59">
        <v>25348.3</v>
      </c>
      <c r="U604" s="59">
        <f>23600+1311.8</f>
        <v>24911.8</v>
      </c>
      <c r="V604" s="59">
        <f>V605+V606</f>
        <v>25348.3</v>
      </c>
      <c r="W604" s="59">
        <f t="shared" ref="W604:Y604" si="150">W605+W606</f>
        <v>22802.2</v>
      </c>
      <c r="X604" s="59">
        <f t="shared" si="150"/>
        <v>21770.400000000001</v>
      </c>
      <c r="Y604" s="59">
        <f t="shared" si="150"/>
        <v>21770.400000000001</v>
      </c>
      <c r="Z604" s="59">
        <f>Z605+Z606</f>
        <v>21770.400000000001</v>
      </c>
      <c r="AA604" s="59">
        <f>SUM(T604:Z604)</f>
        <v>163721.79999999999</v>
      </c>
      <c r="AB604" s="58">
        <v>2024</v>
      </c>
      <c r="AC604" s="33"/>
    </row>
    <row r="605" spans="1:33" x14ac:dyDescent="0.25">
      <c r="A605" s="54" t="s">
        <v>18</v>
      </c>
      <c r="B605" s="54" t="s">
        <v>19</v>
      </c>
      <c r="C605" s="54" t="s">
        <v>20</v>
      </c>
      <c r="D605" s="54" t="s">
        <v>18</v>
      </c>
      <c r="E605" s="54" t="s">
        <v>21</v>
      </c>
      <c r="F605" s="54" t="s">
        <v>18</v>
      </c>
      <c r="G605" s="54" t="s">
        <v>22</v>
      </c>
      <c r="H605" s="54" t="s">
        <v>19</v>
      </c>
      <c r="I605" s="54" t="s">
        <v>24</v>
      </c>
      <c r="J605" s="54" t="s">
        <v>18</v>
      </c>
      <c r="K605" s="54" t="s">
        <v>18</v>
      </c>
      <c r="L605" s="54" t="s">
        <v>24</v>
      </c>
      <c r="M605" s="54" t="s">
        <v>43</v>
      </c>
      <c r="N605" s="54" t="s">
        <v>43</v>
      </c>
      <c r="O605" s="54" t="s">
        <v>43</v>
      </c>
      <c r="P605" s="54" t="s">
        <v>43</v>
      </c>
      <c r="Q605" s="54" t="s">
        <v>43</v>
      </c>
      <c r="R605" s="176"/>
      <c r="S605" s="166"/>
      <c r="T605" s="1">
        <v>25348.3</v>
      </c>
      <c r="U605" s="1">
        <v>24911.8</v>
      </c>
      <c r="V605" s="1">
        <v>0</v>
      </c>
      <c r="W605" s="1">
        <v>0</v>
      </c>
      <c r="X605" s="1">
        <v>0</v>
      </c>
      <c r="Y605" s="1">
        <v>0</v>
      </c>
      <c r="Z605" s="1">
        <v>0</v>
      </c>
      <c r="AA605" s="59">
        <f t="shared" ref="AA605:AA606" si="151">SUM(T605:Z605)</f>
        <v>50260.1</v>
      </c>
      <c r="AB605" s="55">
        <v>2019</v>
      </c>
      <c r="AC605" s="33"/>
    </row>
    <row r="606" spans="1:33" x14ac:dyDescent="0.25">
      <c r="A606" s="54" t="s">
        <v>18</v>
      </c>
      <c r="B606" s="54" t="s">
        <v>19</v>
      </c>
      <c r="C606" s="54" t="s">
        <v>24</v>
      </c>
      <c r="D606" s="54" t="s">
        <v>18</v>
      </c>
      <c r="E606" s="54" t="s">
        <v>21</v>
      </c>
      <c r="F606" s="54" t="s">
        <v>18</v>
      </c>
      <c r="G606" s="54" t="s">
        <v>22</v>
      </c>
      <c r="H606" s="54" t="s">
        <v>19</v>
      </c>
      <c r="I606" s="54" t="s">
        <v>24</v>
      </c>
      <c r="J606" s="54" t="s">
        <v>18</v>
      </c>
      <c r="K606" s="54" t="s">
        <v>18</v>
      </c>
      <c r="L606" s="54" t="s">
        <v>24</v>
      </c>
      <c r="M606" s="54" t="s">
        <v>43</v>
      </c>
      <c r="N606" s="54" t="s">
        <v>43</v>
      </c>
      <c r="O606" s="54" t="s">
        <v>43</v>
      </c>
      <c r="P606" s="54" t="s">
        <v>43</v>
      </c>
      <c r="Q606" s="54" t="s">
        <v>43</v>
      </c>
      <c r="R606" s="177"/>
      <c r="S606" s="167"/>
      <c r="T606" s="1">
        <v>0</v>
      </c>
      <c r="U606" s="1">
        <v>0</v>
      </c>
      <c r="V606" s="1">
        <v>25348.3</v>
      </c>
      <c r="W606" s="1">
        <f>21770.4+1031.8</f>
        <v>22802.2</v>
      </c>
      <c r="X606" s="1">
        <v>21770.400000000001</v>
      </c>
      <c r="Y606" s="1">
        <v>21770.400000000001</v>
      </c>
      <c r="Z606" s="1">
        <v>21770.400000000001</v>
      </c>
      <c r="AA606" s="59">
        <f t="shared" si="151"/>
        <v>113461.69999999998</v>
      </c>
      <c r="AB606" s="55">
        <v>2024</v>
      </c>
      <c r="AC606" s="33"/>
    </row>
    <row r="607" spans="1:33" ht="34.1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80" t="s">
        <v>160</v>
      </c>
      <c r="S607" s="156" t="s">
        <v>52</v>
      </c>
      <c r="T607" s="2">
        <v>2225</v>
      </c>
      <c r="U607" s="44">
        <v>2224</v>
      </c>
      <c r="V607" s="44">
        <v>2224</v>
      </c>
      <c r="W607" s="44">
        <v>2224</v>
      </c>
      <c r="X607" s="44">
        <v>2224</v>
      </c>
      <c r="Y607" s="44">
        <v>2224</v>
      </c>
      <c r="Z607" s="44">
        <v>2224</v>
      </c>
      <c r="AA607" s="45">
        <f>Z607</f>
        <v>2224</v>
      </c>
      <c r="AB607" s="41">
        <v>2024</v>
      </c>
      <c r="AC607" s="33"/>
    </row>
    <row r="608" spans="1:33" ht="31.5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80" t="s">
        <v>161</v>
      </c>
      <c r="S608" s="156" t="s">
        <v>53</v>
      </c>
      <c r="T608" s="2">
        <v>365</v>
      </c>
      <c r="U608" s="2">
        <v>365</v>
      </c>
      <c r="V608" s="44">
        <v>366</v>
      </c>
      <c r="W608" s="44">
        <v>365</v>
      </c>
      <c r="X608" s="2">
        <v>365</v>
      </c>
      <c r="Y608" s="2">
        <v>365</v>
      </c>
      <c r="Z608" s="2">
        <v>366</v>
      </c>
      <c r="AA608" s="45">
        <f>T608+U608+V608+W608+X608+Y608+Z608</f>
        <v>2557</v>
      </c>
      <c r="AB608" s="41">
        <v>2024</v>
      </c>
      <c r="AC608" s="33"/>
    </row>
    <row r="609" spans="1:31" ht="31.5" x14ac:dyDescent="0.2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80" t="s">
        <v>162</v>
      </c>
      <c r="S609" s="156" t="s">
        <v>38</v>
      </c>
      <c r="T609" s="2">
        <v>4917</v>
      </c>
      <c r="U609" s="2">
        <v>5400</v>
      </c>
      <c r="V609" s="2">
        <v>4794</v>
      </c>
      <c r="W609" s="44">
        <v>6500</v>
      </c>
      <c r="X609" s="2">
        <v>4878</v>
      </c>
      <c r="Y609" s="2">
        <v>4878</v>
      </c>
      <c r="Z609" s="2">
        <v>4878</v>
      </c>
      <c r="AA609" s="45">
        <f t="shared" ref="AA609:AA611" si="152">T609+U609+V609+W609+X609+Y609+Z609</f>
        <v>36245</v>
      </c>
      <c r="AB609" s="41">
        <v>2024</v>
      </c>
      <c r="AC609" s="123"/>
      <c r="AD609" s="102"/>
    </row>
    <row r="610" spans="1:31" ht="47.25" x14ac:dyDescent="0.2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80" t="s">
        <v>163</v>
      </c>
      <c r="S610" s="156" t="s">
        <v>38</v>
      </c>
      <c r="T610" s="2">
        <v>4598</v>
      </c>
      <c r="U610" s="44">
        <v>4558</v>
      </c>
      <c r="V610" s="2">
        <v>4594</v>
      </c>
      <c r="W610" s="44">
        <v>6500</v>
      </c>
      <c r="X610" s="2">
        <v>4878</v>
      </c>
      <c r="Y610" s="2">
        <v>4878</v>
      </c>
      <c r="Z610" s="2">
        <v>4878</v>
      </c>
      <c r="AA610" s="45">
        <f t="shared" si="152"/>
        <v>34884</v>
      </c>
      <c r="AB610" s="41">
        <v>2024</v>
      </c>
      <c r="AC610" s="123"/>
      <c r="AD610" s="102"/>
    </row>
    <row r="611" spans="1:31" ht="47.25" x14ac:dyDescent="0.2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80" t="s">
        <v>164</v>
      </c>
      <c r="S611" s="156" t="s">
        <v>38</v>
      </c>
      <c r="T611" s="2">
        <v>488</v>
      </c>
      <c r="U611" s="2">
        <v>550</v>
      </c>
      <c r="V611" s="2">
        <v>516</v>
      </c>
      <c r="W611" s="44">
        <v>500</v>
      </c>
      <c r="X611" s="2">
        <v>490</v>
      </c>
      <c r="Y611" s="2">
        <v>490</v>
      </c>
      <c r="Z611" s="2">
        <v>490</v>
      </c>
      <c r="AA611" s="45">
        <f t="shared" si="152"/>
        <v>3524</v>
      </c>
      <c r="AB611" s="41">
        <v>2024</v>
      </c>
      <c r="AC611" s="123"/>
      <c r="AD611" s="102"/>
    </row>
    <row r="612" spans="1:31" x14ac:dyDescent="0.25">
      <c r="A612" s="54"/>
      <c r="B612" s="54"/>
      <c r="C612" s="54"/>
      <c r="D612" s="54" t="s">
        <v>18</v>
      </c>
      <c r="E612" s="54" t="s">
        <v>21</v>
      </c>
      <c r="F612" s="54" t="s">
        <v>18</v>
      </c>
      <c r="G612" s="54" t="s">
        <v>22</v>
      </c>
      <c r="H612" s="54" t="s">
        <v>19</v>
      </c>
      <c r="I612" s="54" t="s">
        <v>24</v>
      </c>
      <c r="J612" s="54" t="s">
        <v>18</v>
      </c>
      <c r="K612" s="54" t="s">
        <v>18</v>
      </c>
      <c r="L612" s="54" t="s">
        <v>24</v>
      </c>
      <c r="M612" s="54" t="s">
        <v>43</v>
      </c>
      <c r="N612" s="54" t="s">
        <v>43</v>
      </c>
      <c r="O612" s="54" t="s">
        <v>43</v>
      </c>
      <c r="P612" s="54" t="s">
        <v>43</v>
      </c>
      <c r="Q612" s="54" t="s">
        <v>43</v>
      </c>
      <c r="R612" s="175" t="s">
        <v>332</v>
      </c>
      <c r="S612" s="165" t="s">
        <v>0</v>
      </c>
      <c r="T612" s="59">
        <f>T613+T614</f>
        <v>0</v>
      </c>
      <c r="U612" s="59">
        <f t="shared" ref="U612:Z612" si="153">U613+U614</f>
        <v>10680.8</v>
      </c>
      <c r="V612" s="59">
        <f t="shared" si="153"/>
        <v>0</v>
      </c>
      <c r="W612" s="59">
        <f t="shared" si="153"/>
        <v>4132.3</v>
      </c>
      <c r="X612" s="59">
        <f t="shared" si="153"/>
        <v>0</v>
      </c>
      <c r="Y612" s="59">
        <f t="shared" si="153"/>
        <v>0</v>
      </c>
      <c r="Z612" s="59">
        <f t="shared" si="153"/>
        <v>0</v>
      </c>
      <c r="AA612" s="59">
        <f>SUM(T612:Z612)</f>
        <v>14813.099999999999</v>
      </c>
      <c r="AB612" s="58">
        <v>2021</v>
      </c>
      <c r="AC612" s="33"/>
      <c r="AD612" s="102"/>
    </row>
    <row r="613" spans="1:31" x14ac:dyDescent="0.25">
      <c r="A613" s="54" t="s">
        <v>18</v>
      </c>
      <c r="B613" s="54" t="s">
        <v>19</v>
      </c>
      <c r="C613" s="54" t="s">
        <v>20</v>
      </c>
      <c r="D613" s="54" t="s">
        <v>18</v>
      </c>
      <c r="E613" s="54" t="s">
        <v>21</v>
      </c>
      <c r="F613" s="54" t="s">
        <v>18</v>
      </c>
      <c r="G613" s="54" t="s">
        <v>22</v>
      </c>
      <c r="H613" s="54" t="s">
        <v>19</v>
      </c>
      <c r="I613" s="54" t="s">
        <v>24</v>
      </c>
      <c r="J613" s="54" t="s">
        <v>18</v>
      </c>
      <c r="K613" s="54" t="s">
        <v>18</v>
      </c>
      <c r="L613" s="54" t="s">
        <v>24</v>
      </c>
      <c r="M613" s="54" t="s">
        <v>43</v>
      </c>
      <c r="N613" s="54" t="s">
        <v>43</v>
      </c>
      <c r="O613" s="54" t="s">
        <v>43</v>
      </c>
      <c r="P613" s="54" t="s">
        <v>43</v>
      </c>
      <c r="Q613" s="54" t="s">
        <v>43</v>
      </c>
      <c r="R613" s="176"/>
      <c r="S613" s="166"/>
      <c r="T613" s="1">
        <v>0</v>
      </c>
      <c r="U613" s="1">
        <v>10680.8</v>
      </c>
      <c r="V613" s="1">
        <v>0</v>
      </c>
      <c r="W613" s="1">
        <v>0</v>
      </c>
      <c r="X613" s="1">
        <v>0</v>
      </c>
      <c r="Y613" s="1">
        <v>0</v>
      </c>
      <c r="Z613" s="1">
        <v>0</v>
      </c>
      <c r="AA613" s="59">
        <f t="shared" ref="AA613:AA614" si="154">SUM(T613:Z613)</f>
        <v>10680.8</v>
      </c>
      <c r="AB613" s="58">
        <v>2019</v>
      </c>
      <c r="AC613" s="33"/>
      <c r="AD613" s="102"/>
    </row>
    <row r="614" spans="1:31" x14ac:dyDescent="0.25">
      <c r="A614" s="54" t="s">
        <v>18</v>
      </c>
      <c r="B614" s="54" t="s">
        <v>19</v>
      </c>
      <c r="C614" s="54" t="s">
        <v>24</v>
      </c>
      <c r="D614" s="54" t="s">
        <v>18</v>
      </c>
      <c r="E614" s="54" t="s">
        <v>21</v>
      </c>
      <c r="F614" s="54" t="s">
        <v>18</v>
      </c>
      <c r="G614" s="54" t="s">
        <v>22</v>
      </c>
      <c r="H614" s="54" t="s">
        <v>19</v>
      </c>
      <c r="I614" s="54" t="s">
        <v>24</v>
      </c>
      <c r="J614" s="54" t="s">
        <v>18</v>
      </c>
      <c r="K614" s="54" t="s">
        <v>18</v>
      </c>
      <c r="L614" s="54" t="s">
        <v>24</v>
      </c>
      <c r="M614" s="54" t="s">
        <v>43</v>
      </c>
      <c r="N614" s="54" t="s">
        <v>43</v>
      </c>
      <c r="O614" s="54" t="s">
        <v>43</v>
      </c>
      <c r="P614" s="54" t="s">
        <v>43</v>
      </c>
      <c r="Q614" s="54" t="s">
        <v>43</v>
      </c>
      <c r="R614" s="177"/>
      <c r="S614" s="167"/>
      <c r="T614" s="1">
        <v>0</v>
      </c>
      <c r="U614" s="1">
        <v>0</v>
      </c>
      <c r="V614" s="1">
        <v>0</v>
      </c>
      <c r="W614" s="1">
        <v>4132.3</v>
      </c>
      <c r="X614" s="1">
        <v>0</v>
      </c>
      <c r="Y614" s="1">
        <v>0</v>
      </c>
      <c r="Z614" s="1">
        <v>0</v>
      </c>
      <c r="AA614" s="59">
        <f t="shared" si="154"/>
        <v>4132.3</v>
      </c>
      <c r="AB614" s="58">
        <v>2021</v>
      </c>
      <c r="AC614" s="33"/>
      <c r="AD614" s="102"/>
    </row>
    <row r="615" spans="1:31" ht="31.5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40" t="s">
        <v>277</v>
      </c>
      <c r="S615" s="41" t="s">
        <v>38</v>
      </c>
      <c r="T615" s="44">
        <v>0</v>
      </c>
      <c r="U615" s="44">
        <v>7300</v>
      </c>
      <c r="V615" s="44">
        <v>0</v>
      </c>
      <c r="W615" s="44">
        <v>7300</v>
      </c>
      <c r="X615" s="44">
        <v>0</v>
      </c>
      <c r="Y615" s="44">
        <v>0</v>
      </c>
      <c r="Z615" s="44">
        <v>0</v>
      </c>
      <c r="AA615" s="49">
        <f>U615</f>
        <v>7300</v>
      </c>
      <c r="AB615" s="41">
        <v>2021</v>
      </c>
      <c r="AC615" s="33"/>
      <c r="AD615" s="104"/>
      <c r="AE615" s="104"/>
    </row>
    <row r="616" spans="1:31" ht="31.5" x14ac:dyDescent="0.25">
      <c r="A616" s="54" t="s">
        <v>18</v>
      </c>
      <c r="B616" s="54" t="s">
        <v>19</v>
      </c>
      <c r="C616" s="54" t="s">
        <v>24</v>
      </c>
      <c r="D616" s="54" t="s">
        <v>18</v>
      </c>
      <c r="E616" s="54" t="s">
        <v>21</v>
      </c>
      <c r="F616" s="54" t="s">
        <v>18</v>
      </c>
      <c r="G616" s="54" t="s">
        <v>22</v>
      </c>
      <c r="H616" s="54" t="s">
        <v>19</v>
      </c>
      <c r="I616" s="54" t="s">
        <v>24</v>
      </c>
      <c r="J616" s="54" t="s">
        <v>18</v>
      </c>
      <c r="K616" s="54" t="s">
        <v>18</v>
      </c>
      <c r="L616" s="54" t="s">
        <v>24</v>
      </c>
      <c r="M616" s="54" t="s">
        <v>18</v>
      </c>
      <c r="N616" s="54" t="s">
        <v>18</v>
      </c>
      <c r="O616" s="54" t="s">
        <v>18</v>
      </c>
      <c r="P616" s="54" t="s">
        <v>24</v>
      </c>
      <c r="Q616" s="54" t="s">
        <v>22</v>
      </c>
      <c r="R616" s="152" t="s">
        <v>385</v>
      </c>
      <c r="S616" s="58" t="s">
        <v>0</v>
      </c>
      <c r="T616" s="59">
        <v>0</v>
      </c>
      <c r="U616" s="59">
        <f>4000-4000</f>
        <v>0</v>
      </c>
      <c r="V616" s="59">
        <v>0</v>
      </c>
      <c r="W616" s="59">
        <v>0</v>
      </c>
      <c r="X616" s="59">
        <v>5000</v>
      </c>
      <c r="Y616" s="59">
        <v>11902.6</v>
      </c>
      <c r="Z616" s="59">
        <v>18409.099999999999</v>
      </c>
      <c r="AA616" s="59">
        <f>T616+U616+V616+W616+X616+Y616</f>
        <v>16902.599999999999</v>
      </c>
      <c r="AB616" s="58">
        <v>2024</v>
      </c>
      <c r="AC616" s="33"/>
      <c r="AD616" s="102"/>
    </row>
    <row r="617" spans="1:31" ht="31.5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40" t="s">
        <v>276</v>
      </c>
      <c r="S617" s="41" t="s">
        <v>38</v>
      </c>
      <c r="T617" s="44">
        <v>0</v>
      </c>
      <c r="U617" s="44">
        <v>0</v>
      </c>
      <c r="V617" s="44">
        <v>0</v>
      </c>
      <c r="W617" s="44">
        <v>0</v>
      </c>
      <c r="X617" s="44">
        <v>1</v>
      </c>
      <c r="Y617" s="44">
        <v>0</v>
      </c>
      <c r="Z617" s="44">
        <v>0</v>
      </c>
      <c r="AA617" s="49">
        <v>0</v>
      </c>
      <c r="AB617" s="41">
        <v>2022</v>
      </c>
      <c r="AC617" s="33"/>
      <c r="AD617" s="104"/>
      <c r="AE617" s="104"/>
    </row>
    <row r="618" spans="1:31" ht="31.5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40" t="s">
        <v>368</v>
      </c>
      <c r="S618" s="41" t="s">
        <v>38</v>
      </c>
      <c r="T618" s="44">
        <v>0</v>
      </c>
      <c r="U618" s="44">
        <v>0</v>
      </c>
      <c r="V618" s="44">
        <v>0</v>
      </c>
      <c r="W618" s="44">
        <v>0</v>
      </c>
      <c r="X618" s="44">
        <v>0</v>
      </c>
      <c r="Y618" s="44">
        <v>6000</v>
      </c>
      <c r="Z618" s="44">
        <v>8000</v>
      </c>
      <c r="AA618" s="49">
        <f>Y618+Z618</f>
        <v>14000</v>
      </c>
      <c r="AB618" s="41">
        <v>2024</v>
      </c>
      <c r="AC618" s="33"/>
      <c r="AD618" s="104"/>
      <c r="AE618" s="104"/>
    </row>
    <row r="619" spans="1:31" ht="31.5" x14ac:dyDescent="0.25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40" t="s">
        <v>369</v>
      </c>
      <c r="S619" s="95" t="s">
        <v>9</v>
      </c>
      <c r="T619" s="44">
        <v>0</v>
      </c>
      <c r="U619" s="44">
        <v>0</v>
      </c>
      <c r="V619" s="44">
        <v>0</v>
      </c>
      <c r="W619" s="44">
        <v>0</v>
      </c>
      <c r="X619" s="44">
        <v>0</v>
      </c>
      <c r="Y619" s="44">
        <v>50</v>
      </c>
      <c r="Z619" s="44">
        <v>50</v>
      </c>
      <c r="AA619" s="49">
        <v>100</v>
      </c>
      <c r="AB619" s="41">
        <v>2024</v>
      </c>
      <c r="AC619" s="33"/>
    </row>
    <row r="620" spans="1:31" ht="26.45" customHeight="1" x14ac:dyDescent="0.25">
      <c r="AB620" s="155" t="s">
        <v>58</v>
      </c>
    </row>
    <row r="621" spans="1:31" ht="52.9" customHeight="1" x14ac:dyDescent="0.25"/>
    <row r="622" spans="1:31" ht="40.15" customHeight="1" x14ac:dyDescent="0.25">
      <c r="A622" s="173" t="s">
        <v>383</v>
      </c>
      <c r="B622" s="173"/>
      <c r="C622" s="173"/>
      <c r="D622" s="173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  <c r="W622" s="173"/>
      <c r="X622" s="173"/>
      <c r="Y622" s="173"/>
      <c r="Z622" s="173"/>
      <c r="AA622" s="173"/>
      <c r="AB622" s="173"/>
    </row>
  </sheetData>
  <mergeCells count="100">
    <mergeCell ref="R292:R301"/>
    <mergeCell ref="S292:S301"/>
    <mergeCell ref="R335:R346"/>
    <mergeCell ref="S335:S346"/>
    <mergeCell ref="R262:R265"/>
    <mergeCell ref="R267:R271"/>
    <mergeCell ref="R273:R277"/>
    <mergeCell ref="R279:R283"/>
    <mergeCell ref="R286:R290"/>
    <mergeCell ref="R304:R308"/>
    <mergeCell ref="R310:R313"/>
    <mergeCell ref="R315:R318"/>
    <mergeCell ref="R320:R323"/>
    <mergeCell ref="R325:R328"/>
    <mergeCell ref="R330:R333"/>
    <mergeCell ref="A1:AB1"/>
    <mergeCell ref="A4:AB4"/>
    <mergeCell ref="A5:AB5"/>
    <mergeCell ref="A6:AB6"/>
    <mergeCell ref="A3:AB3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9:R52"/>
    <mergeCell ref="R195:R197"/>
    <mergeCell ref="R202:R206"/>
    <mergeCell ref="R210:R214"/>
    <mergeCell ref="R74:R79"/>
    <mergeCell ref="R81:R84"/>
    <mergeCell ref="R148:R153"/>
    <mergeCell ref="R68:R72"/>
    <mergeCell ref="R108:R110"/>
    <mergeCell ref="R218:R222"/>
    <mergeCell ref="R226:R230"/>
    <mergeCell ref="R234:R237"/>
    <mergeCell ref="R257:R260"/>
    <mergeCell ref="R245:R253"/>
    <mergeCell ref="R349:R353"/>
    <mergeCell ref="R355:R360"/>
    <mergeCell ref="R362:R367"/>
    <mergeCell ref="R369:R374"/>
    <mergeCell ref="R376:R381"/>
    <mergeCell ref="R383:R388"/>
    <mergeCell ref="R472:R475"/>
    <mergeCell ref="R390:R395"/>
    <mergeCell ref="R397:R402"/>
    <mergeCell ref="R404:R409"/>
    <mergeCell ref="R411:R415"/>
    <mergeCell ref="R417:R421"/>
    <mergeCell ref="R423:R428"/>
    <mergeCell ref="R442:R446"/>
    <mergeCell ref="R448:R452"/>
    <mergeCell ref="R454:R458"/>
    <mergeCell ref="R460:R464"/>
    <mergeCell ref="R466:R470"/>
    <mergeCell ref="R430:R438"/>
    <mergeCell ref="R567:R568"/>
    <mergeCell ref="A622:AB622"/>
    <mergeCell ref="R570:R571"/>
    <mergeCell ref="R573:R574"/>
    <mergeCell ref="R576:R577"/>
    <mergeCell ref="R581:R583"/>
    <mergeCell ref="R604:R606"/>
    <mergeCell ref="S604:S606"/>
    <mergeCell ref="R612:R614"/>
    <mergeCell ref="S612:S614"/>
    <mergeCell ref="R564:R565"/>
    <mergeCell ref="R477:R481"/>
    <mergeCell ref="R483:R487"/>
    <mergeCell ref="R489:R493"/>
    <mergeCell ref="R495:R499"/>
    <mergeCell ref="R501:R505"/>
    <mergeCell ref="R527:R529"/>
    <mergeCell ref="R510:R512"/>
    <mergeCell ref="S148:S153"/>
    <mergeCell ref="S74:S79"/>
    <mergeCell ref="S81:S84"/>
    <mergeCell ref="S39:S43"/>
    <mergeCell ref="S527:S529"/>
    <mergeCell ref="S234:S237"/>
    <mergeCell ref="S226:S230"/>
    <mergeCell ref="S210:S214"/>
    <mergeCell ref="S218:S222"/>
    <mergeCell ref="S202:S206"/>
    <mergeCell ref="S430:S438"/>
    <mergeCell ref="S245:S253"/>
    <mergeCell ref="S510:S512"/>
    <mergeCell ref="S68:S72"/>
    <mergeCell ref="S108:S110"/>
  </mergeCells>
  <pageMargins left="0.35433070866141736" right="0.27559055118110237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2022-07-01T13:49:00Z</dcterms:modified>
</cp:coreProperties>
</file>